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113" windowWidth="15489" windowHeight="11082" tabRatio="869" activeTab="0"/>
  </bookViews>
  <sheets>
    <sheet name="Start" sheetId="1" r:id="rId1"/>
    <sheet name="Hoofdpagina" sheetId="2" r:id="rId2"/>
    <sheet name="Algemeen en dieraantallen" sheetId="3" r:id="rId3"/>
    <sheet name="Rantsoen" sheetId="4" r:id="rId4"/>
    <sheet name="Ruwvoer" sheetId="5" r:id="rId5"/>
    <sheet name="Vee" sheetId="6" r:id="rId6"/>
    <sheet name="Grond en gebouwen" sheetId="7" r:id="rId7"/>
    <sheet name="Mest" sheetId="8" r:id="rId8"/>
    <sheet name="Arbeid+installaties" sheetId="9" r:id="rId9"/>
    <sheet name="Water en energie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Evers, Aart</author>
  </authors>
  <commentList>
    <comment ref="A17" authorId="0">
      <text>
        <r>
          <rPr>
            <b/>
            <sz val="11"/>
            <rFont val="Tahoma"/>
            <family val="2"/>
          </rPr>
          <t>Toelichting: Het percentage maïs invullen, rest is graskuil. Andere soort ruwvoer invullen: klik op kopje "rantsoen"</t>
        </r>
        <r>
          <rPr>
            <sz val="11"/>
            <rFont val="Tahoma"/>
            <family val="2"/>
          </rPr>
          <t xml:space="preserve">
</t>
        </r>
      </text>
    </comment>
    <comment ref="A18" authorId="0">
      <text>
        <r>
          <rPr>
            <b/>
            <sz val="11"/>
            <rFont val="Tahoma"/>
            <family val="2"/>
          </rPr>
          <t>Toelichting: Het percentage maïs invullen, rest is graskuil. Andere soort ruwvoer invullen: klik op kopje "rantsoen"</t>
        </r>
        <r>
          <rPr>
            <sz val="11"/>
            <rFont val="Tahoma"/>
            <family val="2"/>
          </rPr>
          <t xml:space="preserve">
</t>
        </r>
      </text>
    </comment>
    <comment ref="A27" authorId="0">
      <text>
        <r>
          <rPr>
            <b/>
            <sz val="11"/>
            <rFont val="Tahoma"/>
            <family val="2"/>
          </rPr>
          <t>Toelichting: Bij ruwvoer aankopen wordt deze vraag gebruikt bij inschatting ds opbrengst bij weiden van het jongvee</t>
        </r>
        <r>
          <rPr>
            <sz val="11"/>
            <rFont val="Tahoma"/>
            <family val="2"/>
          </rPr>
          <t xml:space="preserve">
</t>
        </r>
      </text>
    </comment>
    <comment ref="C39" authorId="0">
      <text>
        <r>
          <rPr>
            <b/>
            <sz val="11"/>
            <rFont val="Tahoma"/>
            <family val="2"/>
          </rPr>
          <t>Toelichting: Gemiddelde pachtprijs uit KWIN</t>
        </r>
        <r>
          <rPr>
            <sz val="11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11"/>
            <rFont val="Tahoma"/>
            <family val="2"/>
          </rPr>
          <t>Bron: DLV. Indexatie 2018: obv KWIN (2% hogere gezondheidskosten per kg melk t.o.v. KWIN 2009-2010) en 4,8% hogere melkproductie per koe (BIN) =+6,8% kosten per dier ten opzichte van 2010</t>
        </r>
      </text>
    </comment>
    <comment ref="C32" authorId="0">
      <text>
        <r>
          <rPr>
            <b/>
            <sz val="11"/>
            <rFont val="Tahoma"/>
            <family val="2"/>
          </rPr>
          <t>Bron: DLV. Indexatie 2018: obv KWIN (2% hogere gezondheidskosten per kg melk t.o.v. KWIN 2009-2010) en 4,8% hogere melkproductie per koe (BIN)=+6,8% kosten per dier ten opzichte van 2010</t>
        </r>
      </text>
    </comment>
    <comment ref="C42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45" authorId="0">
      <text>
        <r>
          <rPr>
            <b/>
            <sz val="11"/>
            <rFont val="Tahoma"/>
            <family val="2"/>
          </rPr>
          <t>Bron: KWIN/BIN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Evers, Aart</author>
  </authors>
  <commentList>
    <comment ref="F7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1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5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6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19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  <comment ref="C26" authorId="0">
      <text>
        <r>
          <rPr>
            <sz val="9"/>
            <rFont val="Tahoma"/>
            <family val="2"/>
          </rPr>
          <t xml:space="preserve">Gemiddelde van dierltarief nuka en kalf (Rendac, 2018)
</t>
        </r>
      </text>
    </comment>
    <comment ref="F16" authorId="0">
      <text>
        <r>
          <rPr>
            <b/>
            <sz val="11"/>
            <rFont val="Tahoma"/>
            <family val="2"/>
          </rPr>
          <t>Bron: KWIN</t>
        </r>
        <r>
          <rPr>
            <sz val="1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<sst xmlns="http://schemas.openxmlformats.org/spreadsheetml/2006/main" count="771" uniqueCount="468">
  <si>
    <t>Invoer</t>
  </si>
  <si>
    <t>Rantsoen</t>
  </si>
  <si>
    <t>Aantal dagen weiden 0-1 jaar</t>
  </si>
  <si>
    <t>Aantal dagen weiden &gt; 1 jaar</t>
  </si>
  <si>
    <t>% maiskuil ruwvoer stal 0-1 jaar</t>
  </si>
  <si>
    <t>% maiskuil ruwvoer stal &gt; 1 jaar</t>
  </si>
  <si>
    <t>%</t>
  </si>
  <si>
    <t>Veekosten</t>
  </si>
  <si>
    <t>Gezondheidskosten 0-1 jaar</t>
  </si>
  <si>
    <t>Gezondheidskosten &gt; 1 jaar</t>
  </si>
  <si>
    <t>Gebouwen</t>
  </si>
  <si>
    <t>Pachtprijs per ha</t>
  </si>
  <si>
    <t>Grond en gebouwen</t>
  </si>
  <si>
    <t>Prijs mestafvoer</t>
  </si>
  <si>
    <t>Arbeid</t>
  </si>
  <si>
    <t>Prijs per gewerkt uur</t>
  </si>
  <si>
    <t>Uitvoer</t>
  </si>
  <si>
    <t>per afgekalfde vaars</t>
  </si>
  <si>
    <t>Voerkosten</t>
  </si>
  <si>
    <t>w.v. krachtvoer en melkpoeder</t>
  </si>
  <si>
    <t>w.v. ruwvoer</t>
  </si>
  <si>
    <t>w.v. gezondheid</t>
  </si>
  <si>
    <t>w.v. inseminatie</t>
  </si>
  <si>
    <t>w.v. berekende rente</t>
  </si>
  <si>
    <t>w.v. strooisel</t>
  </si>
  <si>
    <t>Gewaskosten</t>
  </si>
  <si>
    <t>Loonwerk</t>
  </si>
  <si>
    <t>Werktuigen en installaties</t>
  </si>
  <si>
    <t>Pacht</t>
  </si>
  <si>
    <t>Mestafvoer</t>
  </si>
  <si>
    <t>Totale kosten</t>
  </si>
  <si>
    <t>Exclusief arbeid</t>
  </si>
  <si>
    <t>droge zandgrond, 9500 kg ds/ha/jr</t>
  </si>
  <si>
    <t>matige zandgrond, 11000 kg ds/ha/jr</t>
  </si>
  <si>
    <t>goede zandgrond, 12500 kg ds/ha/jr</t>
  </si>
  <si>
    <t>veengrond, 11000 kg ds/ha/jr</t>
  </si>
  <si>
    <t>natte kleigrond, 10000 kg ds/ha/jr</t>
  </si>
  <si>
    <t>goede kleigrond 14000 kg ds/ha/jr</t>
  </si>
  <si>
    <t>keuze:</t>
  </si>
  <si>
    <t>Stro</t>
  </si>
  <si>
    <t>Zaagsel</t>
  </si>
  <si>
    <t>strooisel 0-1 jr:</t>
  </si>
  <si>
    <t>strooisel &lt; 1 jr:</t>
  </si>
  <si>
    <t>(door op kopje te klikken zijn  extra uitgangspunten in hulpwerkblad in te vullen)</t>
  </si>
  <si>
    <t>stuks</t>
  </si>
  <si>
    <t>kg/dier/staldag</t>
  </si>
  <si>
    <t>kg/dier/weidedag</t>
  </si>
  <si>
    <t>euro/dier</t>
  </si>
  <si>
    <t>euro/ha</t>
  </si>
  <si>
    <t>euro/ton</t>
  </si>
  <si>
    <t>euro/uur</t>
  </si>
  <si>
    <t>Arbeid en installaties</t>
  </si>
  <si>
    <t>euro</t>
  </si>
  <si>
    <t>dagen</t>
  </si>
  <si>
    <t>Afkalfvaarzen per jaar</t>
  </si>
  <si>
    <t>Ruwvoer</t>
  </si>
  <si>
    <t>Ruwvoer zelf telen of aankopen?</t>
  </si>
  <si>
    <t>ruwvoer</t>
  </si>
  <si>
    <t>zelf telen</t>
  </si>
  <si>
    <t>aankopen</t>
  </si>
  <si>
    <t>Leeftijd vaarzen bij afkalveren (mpr)</t>
  </si>
  <si>
    <t>Leeftijd bij afkalveren</t>
  </si>
  <si>
    <t>Uitval &gt; 1 jaar</t>
  </si>
  <si>
    <t>Algemeen: berekening benodigde dieren bij opgegeven vervanging</t>
  </si>
  <si>
    <t>met aantal dieren wat in rood is aangegeven wordt gerekend</t>
  </si>
  <si>
    <t>Aantal aanwezige dieren &gt; 1 jaar</t>
  </si>
  <si>
    <t>Aantal aanwezige dieren 0-1 jaar</t>
  </si>
  <si>
    <t>Benodigde bruto hoeveelheid ds:</t>
  </si>
  <si>
    <t>Vers gras</t>
  </si>
  <si>
    <t>Graskuil</t>
  </si>
  <si>
    <t>Maïskuil</t>
  </si>
  <si>
    <t>kg ds</t>
  </si>
  <si>
    <t>Aanvoer ruwvoer</t>
  </si>
  <si>
    <t>Overig ruwvoer</t>
  </si>
  <si>
    <t>Gewasopbrengst</t>
  </si>
  <si>
    <t>norm</t>
  </si>
  <si>
    <t>prijs</t>
  </si>
  <si>
    <t>Norm</t>
  </si>
  <si>
    <t>Bedrag</t>
  </si>
  <si>
    <t>Melkpoeder</t>
  </si>
  <si>
    <t>Leeftijd spenen</t>
  </si>
  <si>
    <t>Gemiddelde gift melkpoeder/dag</t>
  </si>
  <si>
    <t>Aantal nuka's aanwezig</t>
  </si>
  <si>
    <t>Aanvoer melkpoeder totaal</t>
  </si>
  <si>
    <t>opgave</t>
  </si>
  <si>
    <t>kg</t>
  </si>
  <si>
    <t>kg/dag tot spenen</t>
  </si>
  <si>
    <t>euro/kg</t>
  </si>
  <si>
    <t>bedrag</t>
  </si>
  <si>
    <t>Krachtvoer</t>
  </si>
  <si>
    <t>0-1 jaar</t>
  </si>
  <si>
    <t>Gemiddeld aantal aanwezige dieren</t>
  </si>
  <si>
    <t>&gt; 1 jaar</t>
  </si>
  <si>
    <t>Aantal dagen op stal</t>
  </si>
  <si>
    <t>Krachtvoergift op stal</t>
  </si>
  <si>
    <t>Aantal dagen in de wei</t>
  </si>
  <si>
    <t>Krachtvoergift in de wei</t>
  </si>
  <si>
    <t>Vervoederingsverliezen</t>
  </si>
  <si>
    <t>euro/100 kg</t>
  </si>
  <si>
    <t>Totale ruwvoeropname per staldag</t>
  </si>
  <si>
    <t>Totale opname vers gras per weidedag</t>
  </si>
  <si>
    <t>Aandeel graskuil</t>
  </si>
  <si>
    <t>Aandeel maïskuil</t>
  </si>
  <si>
    <t>kg ds/dag</t>
  </si>
  <si>
    <t>Opname graskuil totaal</t>
  </si>
  <si>
    <t>Opname maïskuil totaal</t>
  </si>
  <si>
    <t>Opname overig ruwvoer totaal</t>
  </si>
  <si>
    <t>Opname vers gras totaal</t>
  </si>
  <si>
    <t>Beweidingsrendement</t>
  </si>
  <si>
    <t>Bruto behoefte vers gras</t>
  </si>
  <si>
    <t>Totale bruto behoefte vers gras:</t>
  </si>
  <si>
    <t>Vervoederingsverlies</t>
  </si>
  <si>
    <t>Conserveringsverlies</t>
  </si>
  <si>
    <t>Veldverlies</t>
  </si>
  <si>
    <t>Bruto behoefte graskuil</t>
  </si>
  <si>
    <t>Bruto behoefte maïskuil</t>
  </si>
  <si>
    <t>Bruto Behoefte overig ruwvoer</t>
  </si>
  <si>
    <t>Aandeel overig ruwvoer (aanvoer)</t>
  </si>
  <si>
    <t>Totale bruto behoefte graskuil:</t>
  </si>
  <si>
    <t>Totale bruto behoefte maïskuil:</t>
  </si>
  <si>
    <t>Totale bruto behoefte overig ruwvoer:</t>
  </si>
  <si>
    <t>Totale bruto behoefte krachtvoer</t>
  </si>
  <si>
    <t>kg ds graskuil</t>
  </si>
  <si>
    <t>kg ds maïskuil</t>
  </si>
  <si>
    <t>kg ds overig ruwvoer</t>
  </si>
  <si>
    <t>kg/dag</t>
  </si>
  <si>
    <t>Totale bruto behoefte kvv</t>
  </si>
  <si>
    <t>Krachtvoervervangers (kvv) op stal</t>
  </si>
  <si>
    <t>euro/100 kg ds</t>
  </si>
  <si>
    <t>euro krachtvoerkosten</t>
  </si>
  <si>
    <t>euro kosten krachtvoervervanger</t>
  </si>
  <si>
    <t>euro kosten melkpoeder</t>
  </si>
  <si>
    <t>graskuil</t>
  </si>
  <si>
    <t>maïskuil</t>
  </si>
  <si>
    <t>Voor vers gras</t>
  </si>
  <si>
    <t>Voor graskuil</t>
  </si>
  <si>
    <t>Voor maïsteelt</t>
  </si>
  <si>
    <t>Snedezwaarte bij maaien</t>
  </si>
  <si>
    <t>Gemaaide hectares</t>
  </si>
  <si>
    <t>ha</t>
  </si>
  <si>
    <t>kg ds per snede</t>
  </si>
  <si>
    <t>Afrastering</t>
  </si>
  <si>
    <t>Herinzaaipercentage</t>
  </si>
  <si>
    <t>Zaaizaad</t>
  </si>
  <si>
    <t>Mestproductie en mestafvoer</t>
  </si>
  <si>
    <t>Teelt, oogst en aankoop ruwvoer</t>
  </si>
  <si>
    <t>euro per ha</t>
  </si>
  <si>
    <t>euro per ha herinzaai</t>
  </si>
  <si>
    <t>Loonwerk:</t>
  </si>
  <si>
    <t>Maaien</t>
  </si>
  <si>
    <t>Schudden</t>
  </si>
  <si>
    <t>Harken</t>
  </si>
  <si>
    <t xml:space="preserve">Herinzaai </t>
  </si>
  <si>
    <t>euro per gemaaide ha</t>
  </si>
  <si>
    <t>euro per m³</t>
  </si>
  <si>
    <t>Inkuilen + aanrijden kuil</t>
  </si>
  <si>
    <t>Overige loonwerkkosten</t>
  </si>
  <si>
    <t xml:space="preserve">euro per ha  </t>
  </si>
  <si>
    <t>Zaaien</t>
  </si>
  <si>
    <t>Onkruid bestrijden</t>
  </si>
  <si>
    <t>Gewasbeschermingsmiddelen</t>
  </si>
  <si>
    <t>Oogst + aanrijden kuil</t>
  </si>
  <si>
    <t>Gewaskosten grasland totaal</t>
  </si>
  <si>
    <t>Gewaskosten maïsland totaal</t>
  </si>
  <si>
    <t>Loonwerkkosten grasland totaal</t>
  </si>
  <si>
    <t>Loonwerkkosten maïsland totaal</t>
  </si>
  <si>
    <r>
      <t>Bemesten</t>
    </r>
    <r>
      <rPr>
        <vertAlign val="superscript"/>
        <sz val="11"/>
        <color indexed="8"/>
        <rFont val="Calibri"/>
        <family val="2"/>
      </rPr>
      <t>1</t>
    </r>
  </si>
  <si>
    <r>
      <t>Kunstmest</t>
    </r>
    <r>
      <rPr>
        <vertAlign val="superscript"/>
        <sz val="11"/>
        <color indexed="8"/>
        <rFont val="Calibri"/>
        <family val="2"/>
      </rPr>
      <t>1</t>
    </r>
  </si>
  <si>
    <r>
      <rPr>
        <u val="single"/>
        <vertAlign val="superscript"/>
        <sz val="11"/>
        <color indexed="12"/>
        <rFont val="Calibri"/>
        <family val="2"/>
      </rPr>
      <t>1</t>
    </r>
    <r>
      <rPr>
        <u val="single"/>
        <sz val="11"/>
        <color indexed="12"/>
        <rFont val="Calibri"/>
        <family val="2"/>
      </rPr>
      <t xml:space="preserve"> Zie ook tabblad bemesting voor meer details</t>
    </r>
  </si>
  <si>
    <t>Totaal kosten aangevoerd ruwvoer</t>
  </si>
  <si>
    <t>herinzaaikosten</t>
  </si>
  <si>
    <t>basisbemesting herinzaai</t>
  </si>
  <si>
    <t>Ploegen + zaaiklaar maken</t>
  </si>
  <si>
    <t>ploegen+zaaiklaar</t>
  </si>
  <si>
    <t>Grasland</t>
  </si>
  <si>
    <t>Maïsland</t>
  </si>
  <si>
    <t>kg ds bruto/ha</t>
  </si>
  <si>
    <t>aantal 0-1 jaar</t>
  </si>
  <si>
    <t>mestproductie per dag</t>
  </si>
  <si>
    <t>aantal &gt; 1 jaar</t>
  </si>
  <si>
    <t>liter per dag</t>
  </si>
  <si>
    <t>Totale mestproductie</t>
  </si>
  <si>
    <t>m³</t>
  </si>
  <si>
    <t>N-gehalte in de mest</t>
  </si>
  <si>
    <t>kg N/m³</t>
  </si>
  <si>
    <t>Drijfmestgift op grasland</t>
  </si>
  <si>
    <t>Drijfmestgift op maïsland</t>
  </si>
  <si>
    <t>m³/ha</t>
  </si>
  <si>
    <t>Beschikbaar grasland</t>
  </si>
  <si>
    <t>Beschikbaar maïsland</t>
  </si>
  <si>
    <t>Mestplaatsingsruimte per ha</t>
  </si>
  <si>
    <t>kg N/ha</t>
  </si>
  <si>
    <t>kg N uit dierlijke mest</t>
  </si>
  <si>
    <t>Maximaal plaatsbare N</t>
  </si>
  <si>
    <t>Verplichte afvoer</t>
  </si>
  <si>
    <t>Beschikbaar voor aanwenden</t>
  </si>
  <si>
    <t>prijs mestafvoer</t>
  </si>
  <si>
    <t>Aanvoer stikstofkunstmest</t>
  </si>
  <si>
    <t>Gebruiksnorm N grasland</t>
  </si>
  <si>
    <t>Gebruiksnorm N maïsland</t>
  </si>
  <si>
    <t>gebruiksnorm gras</t>
  </si>
  <si>
    <t>Werking N drijfmest op grasland</t>
  </si>
  <si>
    <t>Werking N drijfmest op maïsland</t>
  </si>
  <si>
    <t>prijs kunstmest</t>
  </si>
  <si>
    <t>euro per kg</t>
  </si>
  <si>
    <t>Overige bemesting bij herinzaai</t>
  </si>
  <si>
    <t>Totale bemestingskosten</t>
  </si>
  <si>
    <r>
      <t>Kunstmest +overige bemesting</t>
    </r>
    <r>
      <rPr>
        <vertAlign val="superscript"/>
        <sz val="11"/>
        <color indexed="8"/>
        <rFont val="Calibri"/>
        <family val="2"/>
      </rPr>
      <t>1</t>
    </r>
  </si>
  <si>
    <t>m³ mest op grasland</t>
  </si>
  <si>
    <t>Forfaitair geproduceerde N in mest</t>
  </si>
  <si>
    <t>Ingeschatte kunstmestgift</t>
  </si>
  <si>
    <t>Gezondheidszorg</t>
  </si>
  <si>
    <t>euro per dier</t>
  </si>
  <si>
    <t>w.v. kosten destructie</t>
  </si>
  <si>
    <t>Inseminatie</t>
  </si>
  <si>
    <t>Inseminaties per drachtigheid</t>
  </si>
  <si>
    <t>Prijs per inseminatie</t>
  </si>
  <si>
    <t>Spermaprijs per dosis</t>
  </si>
  <si>
    <t>keer</t>
  </si>
  <si>
    <t>Kosten per dier</t>
  </si>
  <si>
    <t xml:space="preserve">Totale kosten gezondheidszorg </t>
  </si>
  <si>
    <t xml:space="preserve">Totale kosten inseminaties </t>
  </si>
  <si>
    <t>w.v. scheren</t>
  </si>
  <si>
    <t>Scheren</t>
  </si>
  <si>
    <t xml:space="preserve">Totale kosten scheren </t>
  </si>
  <si>
    <t xml:space="preserve">Kosten mestafvoer </t>
  </si>
  <si>
    <t xml:space="preserve">Kosten N-kunstmest </t>
  </si>
  <si>
    <t>Strooisel</t>
  </si>
  <si>
    <t>Hoeveelheid strooisel per dier</t>
  </si>
  <si>
    <t>kg/jaar</t>
  </si>
  <si>
    <t>Type strooisel</t>
  </si>
  <si>
    <t>Prijs per ton</t>
  </si>
  <si>
    <t>euro per ton</t>
  </si>
  <si>
    <t>Kosten per kalf</t>
  </si>
  <si>
    <t>kosten per pink</t>
  </si>
  <si>
    <t xml:space="preserve">Totale kosten strooisel </t>
  </si>
  <si>
    <t>Kosten per pink</t>
  </si>
  <si>
    <t>Berekende rente</t>
  </si>
  <si>
    <t>Vervangingswaarde</t>
  </si>
  <si>
    <t>Rente</t>
  </si>
  <si>
    <t>Rente per kalf</t>
  </si>
  <si>
    <t>Rente per pink</t>
  </si>
  <si>
    <t xml:space="preserve">Totale berekende rente </t>
  </si>
  <si>
    <t>Destructie</t>
  </si>
  <si>
    <t>zie voor uitval pagina Algemeen</t>
  </si>
  <si>
    <t>Uitval dieren</t>
  </si>
  <si>
    <t>Tarief ophalen dieren per stop</t>
  </si>
  <si>
    <t>Aanvullend tarief per dier</t>
  </si>
  <si>
    <t>excl. BTW</t>
  </si>
  <si>
    <t>incl. BTW</t>
  </si>
  <si>
    <t xml:space="preserve">Totale destructiekosten </t>
  </si>
  <si>
    <t>Destructie kalveren</t>
  </si>
  <si>
    <t>Destructie pinken</t>
  </si>
  <si>
    <t>zie voor oppervlakte grond tabblad Ruwvoer</t>
  </si>
  <si>
    <t>euro per stop</t>
  </si>
  <si>
    <t>Pachtprijs</t>
  </si>
  <si>
    <t xml:space="preserve">Totale kosten pacht </t>
  </si>
  <si>
    <t>Aantal dierplaatsen 0-1 jaar</t>
  </si>
  <si>
    <t>plaatsen in de stal</t>
  </si>
  <si>
    <t>euro per dierplaats</t>
  </si>
  <si>
    <t>Aantal dierplaatsen &gt; 1 jaar</t>
  </si>
  <si>
    <t>Prijs per dierplaats &gt; 1 jaar</t>
  </si>
  <si>
    <t>Afschrijving</t>
  </si>
  <si>
    <t>Onderhoud</t>
  </si>
  <si>
    <t>rentekosten</t>
  </si>
  <si>
    <t>kosten afschrijving</t>
  </si>
  <si>
    <t>kosten onderhoud</t>
  </si>
  <si>
    <t xml:space="preserve">Kosten gebouwen totaal </t>
  </si>
  <si>
    <t>Vervangingswaarde mestschuif</t>
  </si>
  <si>
    <t>Vervangingswaarde per dierplaats 0-1 jaar</t>
  </si>
  <si>
    <t>Vervangingswaarde mestplaat</t>
  </si>
  <si>
    <t>Vervangingswaarde overige bouwwerken</t>
  </si>
  <si>
    <t>Vervangingswaarde drinkautomaat</t>
  </si>
  <si>
    <t>Vervangingswaarde krachtvoercomputer en toebehoren</t>
  </si>
  <si>
    <t>Totale vervangingswaarde bouwwerken</t>
  </si>
  <si>
    <t>Onderhoud mestschuif</t>
  </si>
  <si>
    <t xml:space="preserve">Totale kosten installaties </t>
  </si>
  <si>
    <t>Aantal dieren</t>
  </si>
  <si>
    <t>Vaste arbeidsbehoefte per diergroep</t>
  </si>
  <si>
    <t>uren per diergroep</t>
  </si>
  <si>
    <t>Gewerkte uren per diergroep</t>
  </si>
  <si>
    <t xml:space="preserve">Totale arbeidskosten </t>
  </si>
  <si>
    <t>kosten arbeid per uur</t>
  </si>
  <si>
    <t>euro per uur</t>
  </si>
  <si>
    <t>Water</t>
  </si>
  <si>
    <t>Drinkwater</t>
  </si>
  <si>
    <t>Water voor kunstmelk</t>
  </si>
  <si>
    <t>liter per dag tot spenen</t>
  </si>
  <si>
    <t>Totaal waterverbruik</t>
  </si>
  <si>
    <t>Prijs water per m³</t>
  </si>
  <si>
    <t xml:space="preserve">Totale kosten water </t>
  </si>
  <si>
    <t>Energie</t>
  </si>
  <si>
    <r>
      <t>* om 1 m³ water met 1</t>
    </r>
    <r>
      <rPr>
        <sz val="11"/>
        <color indexed="8"/>
        <rFont val="Calibri"/>
        <family val="2"/>
      </rPr>
      <t>°C te verhogen is ongeveer 1,16 kWh nodig</t>
    </r>
  </si>
  <si>
    <t>Energieverbruik water voor kunstmelk:</t>
  </si>
  <si>
    <t>Temperatuur koud water</t>
  </si>
  <si>
    <t>Temperatuur kalvermelk</t>
  </si>
  <si>
    <t>°C</t>
  </si>
  <si>
    <t>Energieverbruik warm water*</t>
  </si>
  <si>
    <t>Energieverbruik mestschuif</t>
  </si>
  <si>
    <t>kWh/jaar</t>
  </si>
  <si>
    <t>Energieverbruik kalverdrinkautomaat</t>
  </si>
  <si>
    <t>Energieverbruik krachtvoercomputer</t>
  </si>
  <si>
    <t>Energieverbruik ov. Installaties</t>
  </si>
  <si>
    <t>Energieverbruik verlichting</t>
  </si>
  <si>
    <t>Totaal energieverbruik</t>
  </si>
  <si>
    <t>euro/kWh</t>
  </si>
  <si>
    <t>Prijs energie</t>
  </si>
  <si>
    <t xml:space="preserve">Totale kosten energie </t>
  </si>
  <si>
    <t>Arbeid dieren</t>
  </si>
  <si>
    <t>Bemesten</t>
  </si>
  <si>
    <t>Arbeid veldwerkzaamheden grasland (bij geen loonwerk)</t>
  </si>
  <si>
    <t>uur eigen arbeid per gemaaide ha</t>
  </si>
  <si>
    <t>uur eigen arbeid per ha grasland</t>
  </si>
  <si>
    <t>Totaal eigen arbeid veldwerkzaamheden</t>
  </si>
  <si>
    <t>uur</t>
  </si>
  <si>
    <t>uur eigen arbeid per gemaaide ha (inschatting 2 keer schudden)</t>
  </si>
  <si>
    <t>Water, engerie, heffingen</t>
  </si>
  <si>
    <t>aantal dagen op stal</t>
  </si>
  <si>
    <t>Rente op leningen (%)</t>
  </si>
  <si>
    <t>Vervangingswaarde stal per dier 0-1 jaar</t>
  </si>
  <si>
    <t>Vervangingswaarde stal per dier &gt; 1 jaar</t>
  </si>
  <si>
    <t xml:space="preserve">Opbrengsten vrijwillige afvoer </t>
  </si>
  <si>
    <t>jaar.maand</t>
  </si>
  <si>
    <t>1.10</t>
  </si>
  <si>
    <t>1.11</t>
  </si>
  <si>
    <t>2.00</t>
  </si>
  <si>
    <t>2.01</t>
  </si>
  <si>
    <t>2.02</t>
  </si>
  <si>
    <t>2.03</t>
  </si>
  <si>
    <t>2.04</t>
  </si>
  <si>
    <t>2.05</t>
  </si>
  <si>
    <t>2.06</t>
  </si>
  <si>
    <t>maanden</t>
  </si>
  <si>
    <t>Suggestie</t>
  </si>
  <si>
    <t xml:space="preserve"> (in ligboxenstal goedkoper dan bij aparte jongveestal)</t>
  </si>
  <si>
    <t>Uitvalrisico</t>
  </si>
  <si>
    <t xml:space="preserve">Uitvalrisico </t>
  </si>
  <si>
    <t>Installaties en werktuigen</t>
  </si>
  <si>
    <t>Vervangingswaarde overige installaties, werktuigen</t>
  </si>
  <si>
    <t>Totale vervangingswaarde installaties en werktuigen</t>
  </si>
  <si>
    <t>Onderhoud overige installaties en werktuigen</t>
  </si>
  <si>
    <t>Strooiselkosten</t>
  </si>
  <si>
    <t>euro per jaar</t>
  </si>
  <si>
    <t>(aanpassen strooiselkosten?: klik op kopje Veekosten voor detailinvoer)</t>
  </si>
  <si>
    <t xml:space="preserve">Kosten arbeid: </t>
  </si>
  <si>
    <t>Prijs aangekochte graskuil (45% ds)</t>
  </si>
  <si>
    <t>Prijs (opgave)</t>
  </si>
  <si>
    <t>euro per kg ds</t>
  </si>
  <si>
    <t>Prijs aangekochte maïskuil (33% ds)</t>
  </si>
  <si>
    <t>(waardering totaal uren: eigen en vreemde arbeid)</t>
  </si>
  <si>
    <t>Alleen gele cellen invullen!</t>
  </si>
  <si>
    <t>Bedragen excl. BTW</t>
  </si>
  <si>
    <t>Waarde dier 0-1 jaar (ivm uitvalrisico)</t>
  </si>
  <si>
    <t>Uitval 0 - 1 jaar</t>
  </si>
  <si>
    <t>Aantal uitgevallen dieren 0 - 1 jaar</t>
  </si>
  <si>
    <t>Aantal uitgevallen dieren &gt; jaar</t>
  </si>
  <si>
    <t>Waarde dier &gt; 1 jaar (ivm uitvalrisico)</t>
  </si>
  <si>
    <t>Benodigde afkalfvaarzen voor vervanging</t>
  </si>
  <si>
    <t>Werkelijk aantal afkalfvaarzen/jaar obv jongveebezetting</t>
  </si>
  <si>
    <t>Prijs verkochte afkalfvaarzen</t>
  </si>
  <si>
    <t xml:space="preserve">Kosten aankoop drachtige vaarzen </t>
  </si>
  <si>
    <t>Overschot af te kalveren vaarzen</t>
  </si>
  <si>
    <t xml:space="preserve">gewerkte uren per jaar </t>
  </si>
  <si>
    <t>Variabele arbeidsbehoefte na arbeidsbesparing</t>
  </si>
  <si>
    <t>Loonwerk ?*</t>
  </si>
  <si>
    <t>* antwoord hangt af van invoer op pagina "Ruwvoer"</t>
  </si>
  <si>
    <r>
      <t>Loonwerk (bij eigen beheer "</t>
    </r>
    <r>
      <rPr>
        <b/>
        <sz val="11"/>
        <color indexed="8"/>
        <rFont val="Calibri"/>
        <family val="2"/>
      </rPr>
      <t>0</t>
    </r>
    <r>
      <rPr>
        <sz val="11"/>
        <color theme="1"/>
        <rFont val="Calibri"/>
        <family val="2"/>
      </rPr>
      <t>" invoeren):</t>
    </r>
  </si>
  <si>
    <t>Algemeen en dieraantallen</t>
  </si>
  <si>
    <t xml:space="preserve">Uren besteed aan jongvee: </t>
  </si>
  <si>
    <t>uur/jaar</t>
  </si>
  <si>
    <t>Uitleg:</t>
  </si>
  <si>
    <t>* Met behulp van het aantal dieren wordt de mestproductie berekend</t>
  </si>
  <si>
    <t>* Met behulp van aantal hectares uit pagina "ruwvoer" wordt mestplaatingsruimte berekend</t>
  </si>
  <si>
    <t>* Wanneer er onvoldoende mestplaatsingsruimte is, wordt de mest afgevoerd</t>
  </si>
  <si>
    <t>* Wanneer de productie van mest in de stal lager is dan de verplichte afvoer, wordt</t>
  </si>
  <si>
    <t>evenwel verder gerekend met kosten voor verplichte afvoer (deze moet van melkvee komen)</t>
  </si>
  <si>
    <t>* De overgebleven mest wordt verdeeld over het aanwezige land, de gift op maïs</t>
  </si>
  <si>
    <t>* Na toedelling drijfmest wordt kunstmest bijgestrooid totdat gebruiksnorm volgemaakt is.</t>
  </si>
  <si>
    <r>
      <t>kan zelf worden ingevuld, rest komt op grasland (</t>
    </r>
    <r>
      <rPr>
        <sz val="11"/>
        <color indexed="10"/>
        <rFont val="Calibri"/>
        <family val="2"/>
      </rPr>
      <t>let wel op dat deze niet negatief wordt!!</t>
    </r>
    <r>
      <rPr>
        <sz val="11"/>
        <color theme="1"/>
        <rFont val="Calibri"/>
        <family val="2"/>
      </rPr>
      <t>)</t>
    </r>
  </si>
  <si>
    <t>Aantal melkkoeien</t>
  </si>
  <si>
    <t>Grondsoort en ds tot. opbrengst grasland</t>
  </si>
  <si>
    <t>Aantal aanwezig stuks jongvee</t>
  </si>
  <si>
    <t>Aantal benodigde kalfvaarzen per jaar</t>
  </si>
  <si>
    <t>Uitsplitsing opfokkosten:</t>
  </si>
  <si>
    <t>gemiste opbrengst nuka</t>
  </si>
  <si>
    <t>Vervangingspercentage</t>
  </si>
  <si>
    <t>euro/ton incl oogst + transport</t>
  </si>
  <si>
    <r>
      <t>Kg krachtvoer 0-1 jaar STAL</t>
    </r>
    <r>
      <rPr>
        <vertAlign val="superscript"/>
        <sz val="11"/>
        <color indexed="8"/>
        <rFont val="Calibri"/>
        <family val="2"/>
      </rPr>
      <t>1</t>
    </r>
  </si>
  <si>
    <r>
      <t>Kg krachtvoer &gt; 1 jaar STAL</t>
    </r>
    <r>
      <rPr>
        <vertAlign val="superscript"/>
        <sz val="11"/>
        <color indexed="8"/>
        <rFont val="Calibri"/>
        <family val="2"/>
      </rPr>
      <t>1</t>
    </r>
  </si>
  <si>
    <r>
      <t>Kg krachtvoer 0-1 jaar WEI</t>
    </r>
    <r>
      <rPr>
        <vertAlign val="superscript"/>
        <sz val="11"/>
        <color indexed="8"/>
        <rFont val="Calibri"/>
        <family val="2"/>
      </rPr>
      <t>1</t>
    </r>
  </si>
  <si>
    <r>
      <t>Kg krachtvoer &gt; 1 jaar WEI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</si>
  <si>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10"/>
        <color indexed="8"/>
        <rFont val="Calibri"/>
        <family val="2"/>
      </rPr>
      <t>1</t>
    </r>
    <r>
      <rPr>
        <sz val="10"/>
        <color indexed="8"/>
        <rFont val="Calibri"/>
        <family val="2"/>
      </rPr>
      <t xml:space="preserve"> hier alleen krachtvoer invullen, voor extra krachtvoervervanger klik op kopje </t>
    </r>
    <r>
      <rPr>
        <b/>
        <sz val="10"/>
        <color indexed="8"/>
        <rFont val="Calibri"/>
        <family val="2"/>
      </rPr>
      <t>Rantsoen</t>
    </r>
    <r>
      <rPr>
        <sz val="10"/>
        <color indexed="8"/>
        <rFont val="Calibri"/>
        <family val="2"/>
      </rPr>
      <t>!</t>
    </r>
  </si>
  <si>
    <t>Geleverde melk</t>
  </si>
  <si>
    <t>Prijs water</t>
  </si>
  <si>
    <t>euro/m³</t>
  </si>
  <si>
    <t>kalveren en pinken</t>
  </si>
  <si>
    <t>uitvoer:</t>
  </si>
  <si>
    <t>Resultaten exclusief BTW</t>
  </si>
  <si>
    <t>Resultaten inclusief BTW</t>
  </si>
  <si>
    <t>w.v. overige veekosten</t>
  </si>
  <si>
    <t>Per 100 kg melk</t>
  </si>
  <si>
    <t>Per dier/dag</t>
  </si>
  <si>
    <t>Totale opfokkosten</t>
  </si>
  <si>
    <t>Resultaten op bedrijfsniveau:</t>
  </si>
  <si>
    <t>Opfokkosten</t>
  </si>
  <si>
    <t>Gemiste opbrengst nuka's</t>
  </si>
  <si>
    <t>Prijs nuchter vaarskalf</t>
  </si>
  <si>
    <t>Kosten aankoop vaarzen</t>
  </si>
  <si>
    <t>Totaal</t>
  </si>
  <si>
    <t>AF: opbrengsten verkoop vaarzen</t>
  </si>
  <si>
    <t>Totale kosten jongveeopfok</t>
  </si>
  <si>
    <t>aangekochte vaarzen</t>
  </si>
  <si>
    <t>verkochte vaarzen</t>
  </si>
  <si>
    <t>(+)</t>
  </si>
  <si>
    <t>(-)</t>
  </si>
  <si>
    <t>Benodigde hectares voor jongvee:</t>
  </si>
  <si>
    <t>Oppervlakte land jongvee totaal</t>
  </si>
  <si>
    <t>Teelt en oogstkosten maïsland voor jongvee</t>
  </si>
  <si>
    <t>Teelt- en oogstkosten grasland voor jongvee</t>
  </si>
  <si>
    <t>Oppervlakte grond voor jongvee</t>
  </si>
  <si>
    <t>Berekening mestproductie jongvee</t>
  </si>
  <si>
    <t>Berekening mestplaatsingsruimte jongvee</t>
  </si>
  <si>
    <t>Toediening drijfmest jongvee</t>
  </si>
  <si>
    <t>minuten per diergroep per dag</t>
  </si>
  <si>
    <t>Arbeidsbesparing per dier door mestschuif</t>
  </si>
  <si>
    <t>Arbeidsbesparing per dier door drinkautomaat</t>
  </si>
  <si>
    <t>Arbeidsbesparing per dier door krachtvoercomputer</t>
  </si>
  <si>
    <t>Arbeidsbesparing per dier door overige installaties</t>
  </si>
  <si>
    <t>Jonkos melkveebedrijf</t>
  </si>
  <si>
    <r>
      <t>J</t>
    </r>
    <r>
      <rPr>
        <b/>
        <sz val="48"/>
        <color indexed="10"/>
        <rFont val="Calibri"/>
        <family val="2"/>
      </rPr>
      <t>o</t>
    </r>
    <r>
      <rPr>
        <b/>
        <sz val="48"/>
        <color indexed="21"/>
        <rFont val="Calibri"/>
        <family val="2"/>
      </rPr>
      <t>nK</t>
    </r>
    <r>
      <rPr>
        <b/>
        <sz val="48"/>
        <color indexed="10"/>
        <rFont val="Calibri"/>
        <family val="2"/>
      </rPr>
      <t>o</t>
    </r>
    <r>
      <rPr>
        <b/>
        <sz val="48"/>
        <color indexed="21"/>
        <rFont val="Calibri"/>
        <family val="2"/>
      </rPr>
      <t>s</t>
    </r>
  </si>
  <si>
    <t>Dit rekenprogramma is ontworpen door:</t>
  </si>
  <si>
    <t>Uitsplitsing opfokkosten per vaars:</t>
  </si>
  <si>
    <t>Per opgefokte vaars</t>
  </si>
  <si>
    <t>norm is wettelijke werking ivm kunstmestruimte (werkelijke werking ligt rond 55%)</t>
  </si>
  <si>
    <t>norm is wettelijke werking ivm kunstmestruimte (werkelijke werking ligt rond 60%)</t>
  </si>
  <si>
    <t>kg N uit dierlijke mest (norm is forfaitair, bij gebruik BEX kan aangepaste productie worden ingevuld)</t>
  </si>
  <si>
    <t>m³ mest op maïsland</t>
  </si>
  <si>
    <t>aantal opgefokte vaarzen</t>
  </si>
  <si>
    <t>Water en energie</t>
  </si>
  <si>
    <t>Overig</t>
  </si>
  <si>
    <t>Provincie (ivm derogatie)</t>
  </si>
  <si>
    <t>mestplaatsingsruimte bij derogatie Ov/Gld/Utr/NB/Lim</t>
  </si>
  <si>
    <t>Overijssel/Gelderland/Utrecht</t>
  </si>
  <si>
    <t>Noord Brabant/Limburg</t>
  </si>
  <si>
    <t>gebruiksnorm dierlijke mest bij derogatie</t>
  </si>
  <si>
    <t>gebruiksnorm mais derogatie</t>
  </si>
  <si>
    <t>gebruiksnorm mais geen derogatie</t>
  </si>
  <si>
    <t>gebruiksnorm stikstof mais zand in NB en LIM</t>
  </si>
  <si>
    <t>gras</t>
  </si>
  <si>
    <t>mais</t>
  </si>
  <si>
    <t>(alleen ploegen en zaaiklaar maken)</t>
  </si>
  <si>
    <t>natrium+koper + helft kosten kalium en fosfaat</t>
  </si>
  <si>
    <t>Fosfaatrechten</t>
  </si>
  <si>
    <t>Productie fosfaat jongvee (forfaitair)</t>
  </si>
  <si>
    <t>kg P2O5</t>
  </si>
  <si>
    <t>euro/kg P2O5 recht</t>
  </si>
  <si>
    <t>Rente fosfaatrechten</t>
  </si>
  <si>
    <t>2280 tot 2530</t>
  </si>
  <si>
    <t>2530 tot 2660</t>
  </si>
  <si>
    <t>Rente- en afschrijving fosfaatrechten</t>
  </si>
  <si>
    <t>Rente + afschrijving fosfaatrechten</t>
  </si>
  <si>
    <t>Toegekende fosfaatrechten jongvee</t>
  </si>
  <si>
    <t>kg P2O6</t>
  </si>
  <si>
    <t>maak inschatting op basis van beschikking hoeveel rechten voor jongvee per 1/1/2018 aanwezig zijn</t>
  </si>
  <si>
    <t>Waarde aangekocht fosfaatrecht</t>
  </si>
  <si>
    <t>(alleen kosten voor extra aangekochte fosfaatrechten na 1/1/2018)</t>
  </si>
  <si>
    <t>Waarde aangekochte fosfaatrechten jongvee</t>
  </si>
  <si>
    <t>rekenprogramma om opfokkosten jongvee te berekenen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</si>
</sst>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"/>
    <numFmt numFmtId="165" formatCode="\€\ 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name val="Tahoma"/>
      <family val="2"/>
    </font>
    <font>
      <b/>
      <sz val="11"/>
      <name val="Tahoma"/>
      <family val="2"/>
    </font>
    <font>
      <sz val="11"/>
      <color indexed="10"/>
      <name val="Calibri"/>
      <family val="2"/>
    </font>
    <font>
      <vertAlign val="superscript"/>
      <sz val="11"/>
      <color indexed="8"/>
      <name val="Calibri"/>
      <family val="2"/>
    </font>
    <font>
      <u val="single"/>
      <vertAlign val="superscript"/>
      <sz val="11"/>
      <color indexed="12"/>
      <name val="Calibri"/>
      <family val="2"/>
    </font>
    <font>
      <sz val="10"/>
      <color indexed="8"/>
      <name val="Calibri"/>
      <family val="2"/>
    </font>
    <font>
      <vertAlign val="superscript"/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48"/>
      <color indexed="21"/>
      <name val="Calibri"/>
      <family val="2"/>
    </font>
    <font>
      <b/>
      <sz val="48"/>
      <color indexed="10"/>
      <name val="Calibri"/>
      <family val="2"/>
    </font>
    <font>
      <sz val="9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10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6"/>
      <name val="Calibri"/>
      <family val="2"/>
    </font>
    <font>
      <sz val="11"/>
      <color indexed="21"/>
      <name val="Calibri"/>
      <family val="2"/>
    </font>
    <font>
      <b/>
      <u val="single"/>
      <sz val="24"/>
      <color indexed="12"/>
      <name val="Calibri"/>
      <family val="2"/>
    </font>
    <font>
      <sz val="8"/>
      <name val="Segoe UI"/>
      <family val="2"/>
    </font>
    <font>
      <sz val="13"/>
      <color indexed="9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  <font>
      <b/>
      <sz val="11"/>
      <color rgb="FFFF00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10"/>
      <color theme="3" tint="-0.24997000396251678"/>
      <name val="Calibri"/>
      <family val="2"/>
    </font>
    <font>
      <sz val="11"/>
      <color theme="3" tint="-0.24997000396251678"/>
      <name val="Calibri"/>
      <family val="2"/>
    </font>
    <font>
      <b/>
      <sz val="11"/>
      <color theme="5" tint="-0.4999699890613556"/>
      <name val="Calibri"/>
      <family val="2"/>
    </font>
    <font>
      <sz val="11"/>
      <color theme="8" tint="-0.4999699890613556"/>
      <name val="Calibri"/>
      <family val="2"/>
    </font>
    <font>
      <b/>
      <sz val="48"/>
      <color theme="8" tint="-0.4999699890613556"/>
      <name val="Calibri"/>
      <family val="2"/>
    </font>
    <font>
      <sz val="11"/>
      <color theme="4" tint="-0.4999699890613556"/>
      <name val="Calibri"/>
      <family val="2"/>
    </font>
    <font>
      <b/>
      <u val="single"/>
      <sz val="24"/>
      <color theme="1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0" fillId="31" borderId="7" applyNumberFormat="0" applyFont="0" applyAlignment="0" applyProtection="0"/>
    <xf numFmtId="0" fontId="55" fillId="32" borderId="0" applyNumberFormat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</cellStyleXfs>
  <cellXfs count="14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0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9" fontId="0" fillId="6" borderId="11" xfId="55" applyFont="1" applyFill="1" applyBorder="1" applyAlignment="1">
      <alignment/>
    </xf>
    <xf numFmtId="0" fontId="0" fillId="6" borderId="11" xfId="0" applyFill="1" applyBorder="1" applyAlignment="1">
      <alignment horizontal="right"/>
    </xf>
    <xf numFmtId="0" fontId="61" fillId="34" borderId="0" xfId="0" applyFont="1" applyFill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horizontal="right"/>
    </xf>
    <xf numFmtId="0" fontId="57" fillId="34" borderId="0" xfId="0" applyFont="1" applyFill="1" applyAlignment="1">
      <alignment/>
    </xf>
    <xf numFmtId="0" fontId="32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Alignment="1">
      <alignment/>
    </xf>
    <xf numFmtId="0" fontId="49" fillId="34" borderId="0" xfId="44" applyFill="1" applyAlignment="1">
      <alignment/>
    </xf>
    <xf numFmtId="0" fontId="62" fillId="34" borderId="0" xfId="0" applyFont="1" applyFill="1" applyAlignment="1">
      <alignment/>
    </xf>
    <xf numFmtId="0" fontId="57" fillId="34" borderId="0" xfId="0" applyFont="1" applyFill="1" applyAlignment="1">
      <alignment horizontal="left"/>
    </xf>
    <xf numFmtId="164" fontId="0" fillId="6" borderId="11" xfId="0" applyNumberFormat="1" applyFill="1" applyBorder="1" applyAlignment="1">
      <alignment/>
    </xf>
    <xf numFmtId="0" fontId="0" fillId="34" borderId="0" xfId="0" applyFill="1" applyAlignment="1">
      <alignment horizontal="right" wrapText="1"/>
    </xf>
    <xf numFmtId="0" fontId="60" fillId="34" borderId="0" xfId="0" applyFont="1" applyFill="1" applyAlignment="1">
      <alignment/>
    </xf>
    <xf numFmtId="0" fontId="0" fillId="6" borderId="0" xfId="0" applyFill="1" applyAlignment="1">
      <alignment/>
    </xf>
    <xf numFmtId="0" fontId="0" fillId="34" borderId="0" xfId="0" applyFill="1" applyAlignment="1">
      <alignment horizontal="left"/>
    </xf>
    <xf numFmtId="0" fontId="30" fillId="34" borderId="0" xfId="0" applyFont="1" applyFill="1" applyAlignment="1">
      <alignment/>
    </xf>
    <xf numFmtId="2" fontId="0" fillId="6" borderId="11" xfId="0" applyNumberFormat="1" applyFill="1" applyBorder="1" applyAlignment="1">
      <alignment/>
    </xf>
    <xf numFmtId="1" fontId="0" fillId="6" borderId="11" xfId="0" applyNumberFormat="1" applyFill="1" applyBorder="1" applyAlignment="1">
      <alignment/>
    </xf>
    <xf numFmtId="0" fontId="0" fillId="6" borderId="12" xfId="0" applyFill="1" applyBorder="1" applyAlignment="1">
      <alignment/>
    </xf>
    <xf numFmtId="1" fontId="0" fillId="6" borderId="12" xfId="0" applyNumberFormat="1" applyFill="1" applyBorder="1" applyAlignment="1">
      <alignment/>
    </xf>
    <xf numFmtId="0" fontId="0" fillId="6" borderId="10" xfId="0" applyFill="1" applyBorder="1" applyAlignment="1">
      <alignment/>
    </xf>
    <xf numFmtId="2" fontId="63" fillId="6" borderId="13" xfId="0" applyNumberFormat="1" applyFont="1" applyFill="1" applyBorder="1" applyAlignment="1">
      <alignment/>
    </xf>
    <xf numFmtId="1" fontId="63" fillId="6" borderId="13" xfId="0" applyNumberFormat="1" applyFont="1" applyFill="1" applyBorder="1" applyAlignment="1">
      <alignment/>
    </xf>
    <xf numFmtId="1" fontId="63" fillId="6" borderId="14" xfId="0" applyNumberFormat="1" applyFont="1" applyFill="1" applyBorder="1" applyAlignment="1">
      <alignment/>
    </xf>
    <xf numFmtId="0" fontId="0" fillId="6" borderId="15" xfId="0" applyFill="1" applyBorder="1" applyAlignment="1">
      <alignment/>
    </xf>
    <xf numFmtId="2" fontId="30" fillId="6" borderId="11" xfId="0" applyNumberFormat="1" applyFont="1" applyFill="1" applyBorder="1" applyAlignment="1">
      <alignment/>
    </xf>
    <xf numFmtId="2" fontId="63" fillId="6" borderId="16" xfId="0" applyNumberFormat="1" applyFont="1" applyFill="1" applyBorder="1" applyAlignment="1">
      <alignment/>
    </xf>
    <xf numFmtId="2" fontId="30" fillId="34" borderId="0" xfId="0" applyNumberFormat="1" applyFont="1" applyFill="1" applyBorder="1" applyAlignment="1">
      <alignment/>
    </xf>
    <xf numFmtId="1" fontId="0" fillId="6" borderId="10" xfId="0" applyNumberFormat="1" applyFill="1" applyBorder="1" applyAlignment="1">
      <alignment/>
    </xf>
    <xf numFmtId="1" fontId="0" fillId="34" borderId="0" xfId="0" applyNumberFormat="1" applyFill="1" applyBorder="1" applyAlignment="1">
      <alignment/>
    </xf>
    <xf numFmtId="0" fontId="0" fillId="34" borderId="0" xfId="0" applyFont="1" applyFill="1" applyAlignment="1">
      <alignment/>
    </xf>
    <xf numFmtId="1" fontId="0" fillId="6" borderId="11" xfId="0" applyNumberFormat="1" applyFill="1" applyBorder="1" applyAlignment="1">
      <alignment/>
    </xf>
    <xf numFmtId="0" fontId="0" fillId="33" borderId="11" xfId="0" applyFill="1" applyBorder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34" borderId="0" xfId="0" applyFill="1" applyAlignment="1" applyProtection="1">
      <alignment horizontal="right"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5" xfId="0" applyFill="1" applyBorder="1" applyAlignment="1" applyProtection="1">
      <alignment/>
      <protection locked="0"/>
    </xf>
    <xf numFmtId="164" fontId="0" fillId="33" borderId="11" xfId="0" applyNumberFormat="1" applyFill="1" applyBorder="1" applyAlignment="1" applyProtection="1">
      <alignment/>
      <protection locked="0"/>
    </xf>
    <xf numFmtId="2" fontId="0" fillId="33" borderId="11" xfId="0" applyNumberFormat="1" applyFill="1" applyBorder="1" applyAlignment="1" applyProtection="1">
      <alignment/>
      <protection locked="0"/>
    </xf>
    <xf numFmtId="0" fontId="0" fillId="6" borderId="11" xfId="0" applyFill="1" applyBorder="1" applyAlignment="1" applyProtection="1">
      <alignment/>
      <protection/>
    </xf>
    <xf numFmtId="1" fontId="57" fillId="6" borderId="11" xfId="0" applyNumberFormat="1" applyFont="1" applyFill="1" applyBorder="1" applyAlignment="1">
      <alignment/>
    </xf>
    <xf numFmtId="49" fontId="0" fillId="34" borderId="0" xfId="0" applyNumberFormat="1" applyFill="1" applyAlignment="1">
      <alignment/>
    </xf>
    <xf numFmtId="49" fontId="0" fillId="34" borderId="0" xfId="0" applyNumberFormat="1" applyFill="1" applyAlignment="1">
      <alignment horizontal="right"/>
    </xf>
    <xf numFmtId="0" fontId="64" fillId="34" borderId="0" xfId="0" applyFont="1" applyFill="1" applyAlignment="1">
      <alignment/>
    </xf>
    <xf numFmtId="0" fontId="60" fillId="34" borderId="0" xfId="0" applyNumberFormat="1" applyFont="1" applyFill="1" applyAlignment="1">
      <alignment/>
    </xf>
    <xf numFmtId="1" fontId="0" fillId="6" borderId="11" xfId="0" applyNumberFormat="1" applyFill="1" applyBorder="1" applyAlignment="1">
      <alignment horizontal="right"/>
    </xf>
    <xf numFmtId="0" fontId="0" fillId="34" borderId="0" xfId="0" applyFill="1" applyBorder="1" applyAlignment="1">
      <alignment horizontal="right"/>
    </xf>
    <xf numFmtId="165" fontId="0" fillId="6" borderId="11" xfId="0" applyNumberFormat="1" applyFill="1" applyBorder="1" applyAlignment="1">
      <alignment/>
    </xf>
    <xf numFmtId="0" fontId="61" fillId="34" borderId="18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9" xfId="0" applyFill="1" applyBorder="1" applyAlignment="1">
      <alignment horizontal="righ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32" fillId="34" borderId="21" xfId="0" applyFont="1" applyFill="1" applyBorder="1" applyAlignment="1">
      <alignment/>
    </xf>
    <xf numFmtId="0" fontId="65" fillId="34" borderId="21" xfId="0" applyFont="1" applyFill="1" applyBorder="1" applyAlignment="1">
      <alignment/>
    </xf>
    <xf numFmtId="0" fontId="57" fillId="34" borderId="21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34" borderId="24" xfId="0" applyFill="1" applyBorder="1" applyAlignment="1">
      <alignment horizontal="right"/>
    </xf>
    <xf numFmtId="0" fontId="0" fillId="34" borderId="25" xfId="0" applyFill="1" applyBorder="1" applyAlignment="1">
      <alignment/>
    </xf>
    <xf numFmtId="2" fontId="30" fillId="6" borderId="26" xfId="0" applyNumberFormat="1" applyFont="1" applyFill="1" applyBorder="1" applyAlignment="1" applyProtection="1">
      <alignment/>
      <protection/>
    </xf>
    <xf numFmtId="2" fontId="30" fillId="33" borderId="26" xfId="0" applyNumberFormat="1" applyFont="1" applyFill="1" applyBorder="1" applyAlignment="1" applyProtection="1">
      <alignment/>
      <protection locked="0"/>
    </xf>
    <xf numFmtId="0" fontId="66" fillId="34" borderId="0" xfId="0" applyFont="1" applyFill="1" applyAlignment="1">
      <alignment/>
    </xf>
    <xf numFmtId="0" fontId="67" fillId="34" borderId="0" xfId="0" applyFont="1" applyFill="1" applyAlignment="1">
      <alignment/>
    </xf>
    <xf numFmtId="164" fontId="0" fillId="34" borderId="0" xfId="0" applyNumberFormat="1" applyFill="1" applyBorder="1" applyAlignment="1">
      <alignment/>
    </xf>
    <xf numFmtId="0" fontId="0" fillId="33" borderId="12" xfId="0" applyFill="1" applyBorder="1" applyAlignment="1" applyProtection="1">
      <alignment/>
      <protection locked="0"/>
    </xf>
    <xf numFmtId="164" fontId="63" fillId="6" borderId="13" xfId="0" applyNumberFormat="1" applyFont="1" applyFill="1" applyBorder="1" applyAlignment="1">
      <alignment/>
    </xf>
    <xf numFmtId="1" fontId="0" fillId="33" borderId="11" xfId="0" applyNumberFormat="1" applyFill="1" applyBorder="1" applyAlignment="1" applyProtection="1">
      <alignment/>
      <protection locked="0"/>
    </xf>
    <xf numFmtId="164" fontId="63" fillId="6" borderId="14" xfId="0" applyNumberFormat="1" applyFont="1" applyFill="1" applyBorder="1" applyAlignment="1">
      <alignment/>
    </xf>
    <xf numFmtId="2" fontId="0" fillId="6" borderId="17" xfId="0" applyNumberFormat="1" applyFill="1" applyBorder="1" applyAlignment="1">
      <alignment/>
    </xf>
    <xf numFmtId="0" fontId="32" fillId="34" borderId="18" xfId="0" applyFont="1" applyFill="1" applyBorder="1" applyAlignment="1">
      <alignment/>
    </xf>
    <xf numFmtId="0" fontId="0" fillId="34" borderId="21" xfId="0" applyFill="1" applyBorder="1" applyAlignment="1" quotePrefix="1">
      <alignment/>
    </xf>
    <xf numFmtId="0" fontId="57" fillId="34" borderId="0" xfId="0" applyFont="1" applyFill="1" applyBorder="1" applyAlignment="1">
      <alignment/>
    </xf>
    <xf numFmtId="0" fontId="0" fillId="33" borderId="26" xfId="0" applyFill="1" applyBorder="1" applyAlignment="1" applyProtection="1">
      <alignment/>
      <protection locked="0"/>
    </xf>
    <xf numFmtId="0" fontId="53" fillId="13" borderId="0" xfId="0" applyFont="1" applyFill="1" applyAlignment="1">
      <alignment horizontal="right"/>
    </xf>
    <xf numFmtId="0" fontId="68" fillId="11" borderId="0" xfId="0" applyFont="1" applyFill="1" applyAlignment="1">
      <alignment horizontal="right"/>
    </xf>
    <xf numFmtId="0" fontId="53" fillId="34" borderId="0" xfId="0" applyFont="1" applyFill="1" applyBorder="1" applyAlignment="1">
      <alignment horizontal="right"/>
    </xf>
    <xf numFmtId="0" fontId="0" fillId="33" borderId="27" xfId="0" applyFill="1" applyBorder="1" applyAlignment="1" applyProtection="1">
      <alignment/>
      <protection locked="0"/>
    </xf>
    <xf numFmtId="0" fontId="0" fillId="33" borderId="26" xfId="0" applyNumberFormat="1" applyFill="1" applyBorder="1" applyAlignment="1" applyProtection="1">
      <alignment/>
      <protection locked="0"/>
    </xf>
    <xf numFmtId="0" fontId="30" fillId="34" borderId="0" xfId="0" applyFont="1" applyFill="1" applyBorder="1" applyAlignment="1">
      <alignment/>
    </xf>
    <xf numFmtId="49" fontId="30" fillId="34" borderId="0" xfId="0" applyNumberFormat="1" applyFont="1" applyFill="1" applyBorder="1" applyAlignment="1">
      <alignment horizontal="right"/>
    </xf>
    <xf numFmtId="164" fontId="30" fillId="6" borderId="11" xfId="0" applyNumberFormat="1" applyFont="1" applyFill="1" applyBorder="1" applyAlignment="1">
      <alignment/>
    </xf>
    <xf numFmtId="1" fontId="0" fillId="34" borderId="0" xfId="0" applyNumberFormat="1" applyFill="1" applyAlignment="1">
      <alignment/>
    </xf>
    <xf numFmtId="0" fontId="0" fillId="34" borderId="21" xfId="0" applyFont="1" applyFill="1" applyBorder="1" applyAlignment="1">
      <alignment/>
    </xf>
    <xf numFmtId="0" fontId="57" fillId="34" borderId="0" xfId="0" applyFont="1" applyFill="1" applyBorder="1" applyAlignment="1">
      <alignment horizontal="right"/>
    </xf>
    <xf numFmtId="0" fontId="57" fillId="34" borderId="23" xfId="0" applyFont="1" applyFill="1" applyBorder="1" applyAlignment="1">
      <alignment/>
    </xf>
    <xf numFmtId="0" fontId="57" fillId="34" borderId="24" xfId="0" applyFont="1" applyFill="1" applyBorder="1" applyAlignment="1">
      <alignment/>
    </xf>
    <xf numFmtId="1" fontId="0" fillId="34" borderId="0" xfId="0" applyNumberFormat="1" applyFill="1" applyAlignment="1">
      <alignment horizontal="right"/>
    </xf>
    <xf numFmtId="0" fontId="0" fillId="34" borderId="0" xfId="0" applyFill="1" applyBorder="1" applyAlignment="1">
      <alignment horizontal="left"/>
    </xf>
    <xf numFmtId="0" fontId="57" fillId="34" borderId="18" xfId="0" applyFont="1" applyFill="1" applyBorder="1" applyAlignment="1">
      <alignment/>
    </xf>
    <xf numFmtId="1" fontId="63" fillId="34" borderId="0" xfId="0" applyNumberFormat="1" applyFont="1" applyFill="1" applyBorder="1" applyAlignment="1">
      <alignment/>
    </xf>
    <xf numFmtId="0" fontId="69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1" fontId="57" fillId="6" borderId="11" xfId="0" applyNumberFormat="1" applyFont="1" applyFill="1" applyBorder="1" applyAlignment="1">
      <alignment horizontal="right" indent="3"/>
    </xf>
    <xf numFmtId="1" fontId="0" fillId="6" borderId="11" xfId="0" applyNumberFormat="1" applyFill="1" applyBorder="1" applyAlignment="1">
      <alignment horizontal="right" indent="3"/>
    </xf>
    <xf numFmtId="1" fontId="65" fillId="6" borderId="11" xfId="0" applyNumberFormat="1" applyFont="1" applyFill="1" applyBorder="1" applyAlignment="1">
      <alignment horizontal="right"/>
    </xf>
    <xf numFmtId="2" fontId="57" fillId="6" borderId="11" xfId="0" applyNumberFormat="1" applyFont="1" applyFill="1" applyBorder="1" applyAlignment="1">
      <alignment horizontal="center"/>
    </xf>
    <xf numFmtId="2" fontId="0" fillId="6" borderId="11" xfId="0" applyNumberFormat="1" applyFill="1" applyBorder="1" applyAlignment="1">
      <alignment horizontal="center"/>
    </xf>
    <xf numFmtId="1" fontId="57" fillId="6" borderId="28" xfId="0" applyNumberFormat="1" applyFont="1" applyFill="1" applyBorder="1" applyAlignment="1">
      <alignment horizontal="right" indent="3"/>
    </xf>
    <xf numFmtId="164" fontId="0" fillId="33" borderId="0" xfId="0" applyNumberFormat="1" applyFill="1" applyAlignment="1" applyProtection="1">
      <alignment/>
      <protection locked="0"/>
    </xf>
    <xf numFmtId="0" fontId="60" fillId="34" borderId="0" xfId="0" applyFont="1" applyFill="1" applyAlignment="1">
      <alignment horizontal="right"/>
    </xf>
    <xf numFmtId="0" fontId="60" fillId="34" borderId="13" xfId="0" applyFont="1" applyFill="1" applyBorder="1" applyAlignment="1" applyProtection="1">
      <alignment/>
      <protection/>
    </xf>
    <xf numFmtId="0" fontId="60" fillId="34" borderId="13" xfId="0" applyFont="1" applyFill="1" applyBorder="1" applyAlignment="1">
      <alignment/>
    </xf>
    <xf numFmtId="0" fontId="60" fillId="34" borderId="0" xfId="0" applyFont="1" applyFill="1" applyAlignment="1" applyProtection="1">
      <alignment/>
      <protection locked="0"/>
    </xf>
    <xf numFmtId="0" fontId="60" fillId="34" borderId="0" xfId="0" applyFont="1" applyFill="1" applyAlignment="1">
      <alignment horizontal="center"/>
    </xf>
    <xf numFmtId="1" fontId="0" fillId="34" borderId="19" xfId="0" applyNumberFormat="1" applyFill="1" applyBorder="1" applyAlignment="1">
      <alignment/>
    </xf>
    <xf numFmtId="0" fontId="60" fillId="34" borderId="24" xfId="0" applyFont="1" applyFill="1" applyBorder="1" applyAlignment="1">
      <alignment horizontal="right"/>
    </xf>
    <xf numFmtId="0" fontId="30" fillId="33" borderId="11" xfId="0" applyFont="1" applyFill="1" applyBorder="1" applyAlignment="1" applyProtection="1">
      <alignment/>
      <protection locked="0"/>
    </xf>
    <xf numFmtId="0" fontId="30" fillId="6" borderId="11" xfId="0" applyFont="1" applyFill="1" applyBorder="1" applyAlignment="1">
      <alignment/>
    </xf>
    <xf numFmtId="0" fontId="30" fillId="33" borderId="26" xfId="0" applyFont="1" applyFill="1" applyBorder="1" applyAlignment="1" applyProtection="1">
      <alignment/>
      <protection locked="0"/>
    </xf>
    <xf numFmtId="0" fontId="30" fillId="6" borderId="11" xfId="0" applyFont="1" applyFill="1" applyBorder="1" applyAlignment="1">
      <alignment horizontal="right"/>
    </xf>
    <xf numFmtId="0" fontId="30" fillId="6" borderId="17" xfId="0" applyFont="1" applyFill="1" applyBorder="1" applyAlignment="1">
      <alignment/>
    </xf>
    <xf numFmtId="0" fontId="30" fillId="34" borderId="23" xfId="0" applyFont="1" applyFill="1" applyBorder="1" applyAlignment="1">
      <alignment/>
    </xf>
    <xf numFmtId="0" fontId="30" fillId="34" borderId="24" xfId="0" applyFont="1" applyFill="1" applyBorder="1" applyAlignment="1">
      <alignment/>
    </xf>
    <xf numFmtId="1" fontId="30" fillId="6" borderId="28" xfId="0" applyNumberFormat="1" applyFont="1" applyFill="1" applyBorder="1" applyAlignment="1">
      <alignment horizontal="right" indent="3"/>
    </xf>
    <xf numFmtId="0" fontId="30" fillId="34" borderId="0" xfId="0" applyFont="1" applyFill="1" applyAlignment="1">
      <alignment horizontal="right"/>
    </xf>
    <xf numFmtId="0" fontId="30" fillId="6" borderId="11" xfId="0" applyFont="1" applyFill="1" applyBorder="1" applyAlignment="1" applyProtection="1">
      <alignment/>
      <protection/>
    </xf>
    <xf numFmtId="1" fontId="30" fillId="6" borderId="11" xfId="0" applyNumberFormat="1" applyFont="1" applyFill="1" applyBorder="1" applyAlignment="1">
      <alignment/>
    </xf>
    <xf numFmtId="1" fontId="30" fillId="33" borderId="11" xfId="0" applyNumberFormat="1" applyFont="1" applyFill="1" applyBorder="1" applyAlignment="1" applyProtection="1">
      <alignment/>
      <protection locked="0"/>
    </xf>
    <xf numFmtId="1" fontId="30" fillId="6" borderId="12" xfId="0" applyNumberFormat="1" applyFont="1" applyFill="1" applyBorder="1" applyAlignment="1">
      <alignment/>
    </xf>
    <xf numFmtId="0" fontId="30" fillId="6" borderId="11" xfId="0" applyFont="1" applyFill="1" applyBorder="1" applyAlignment="1" applyProtection="1">
      <alignment/>
      <protection locked="0"/>
    </xf>
    <xf numFmtId="0" fontId="70" fillId="34" borderId="0" xfId="0" applyFont="1" applyFill="1" applyAlignment="1">
      <alignment horizontal="center"/>
    </xf>
    <xf numFmtId="0" fontId="57" fillId="0" borderId="0" xfId="0" applyFont="1" applyAlignment="1">
      <alignment/>
    </xf>
    <xf numFmtId="0" fontId="71" fillId="34" borderId="0" xfId="0" applyFont="1" applyFill="1" applyAlignment="1">
      <alignment horizontal="center"/>
    </xf>
    <xf numFmtId="0" fontId="71" fillId="0" borderId="0" xfId="0" applyFont="1" applyAlignment="1">
      <alignment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72" fillId="34" borderId="0" xfId="44" applyFont="1" applyFill="1" applyAlignment="1">
      <alignment horizontal="center"/>
    </xf>
    <xf numFmtId="0" fontId="0" fillId="0" borderId="0" xfId="0" applyAlignment="1">
      <alignment/>
    </xf>
    <xf numFmtId="0" fontId="30" fillId="6" borderId="26" xfId="0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49" fillId="34" borderId="0" xfId="44" applyFill="1" applyAlignment="1">
      <alignment/>
    </xf>
    <xf numFmtId="0" fontId="0" fillId="6" borderId="11" xfId="0" applyFill="1" applyBorder="1" applyAlignment="1">
      <alignment/>
    </xf>
    <xf numFmtId="0" fontId="0" fillId="0" borderId="11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Hoofdpagin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3457575</xdr:colOff>
      <xdr:row>19</xdr:row>
      <xdr:rowOff>85725</xdr:rowOff>
    </xdr:from>
    <xdr:to>
      <xdr:col>1</xdr:col>
      <xdr:colOff>1085850</xdr:colOff>
      <xdr:row>21</xdr:row>
      <xdr:rowOff>19050</xdr:rowOff>
    </xdr:to>
    <xdr:pic>
      <xdr:nvPicPr>
        <xdr:cNvPr id="1" name="Afbeelding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57575" y="4714875"/>
          <a:ext cx="334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1343025</xdr:colOff>
      <xdr:row>19</xdr:row>
      <xdr:rowOff>28575</xdr:rowOff>
    </xdr:from>
    <xdr:to>
      <xdr:col>1</xdr:col>
      <xdr:colOff>4457700</xdr:colOff>
      <xdr:row>21</xdr:row>
      <xdr:rowOff>66675</xdr:rowOff>
    </xdr:to>
    <xdr:pic>
      <xdr:nvPicPr>
        <xdr:cNvPr id="2" name="Afbeelding 8"/>
        <xdr:cNvPicPr preferRelativeResize="1">
          <a:picLocks noChangeAspect="1"/>
        </xdr:cNvPicPr>
      </xdr:nvPicPr>
      <xdr:blipFill>
        <a:blip r:embed="rId2"/>
        <a:srcRect r="3379" b="2221"/>
        <a:stretch>
          <a:fillRect/>
        </a:stretch>
      </xdr:blipFill>
      <xdr:spPr>
        <a:xfrm>
          <a:off x="7058025" y="4657725"/>
          <a:ext cx="31242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3238500</xdr:colOff>
      <xdr:row>21</xdr:row>
      <xdr:rowOff>133350</xdr:rowOff>
    </xdr:to>
    <xdr:pic>
      <xdr:nvPicPr>
        <xdr:cNvPr id="3" name="Afbeelding 10"/>
        <xdr:cNvPicPr preferRelativeResize="1">
          <a:picLocks noChangeAspect="1"/>
        </xdr:cNvPicPr>
      </xdr:nvPicPr>
      <xdr:blipFill>
        <a:blip r:embed="rId3"/>
        <a:srcRect t="1" r="4217" b="-14894"/>
        <a:stretch>
          <a:fillRect/>
        </a:stretch>
      </xdr:blipFill>
      <xdr:spPr>
        <a:xfrm>
          <a:off x="0" y="4629150"/>
          <a:ext cx="32385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3876675</xdr:colOff>
      <xdr:row>3</xdr:row>
      <xdr:rowOff>19050</xdr:rowOff>
    </xdr:from>
    <xdr:ext cx="3286125" cy="1466850"/>
    <xdr:sp>
      <xdr:nvSpPr>
        <xdr:cNvPr id="4" name="Tekstvak 12"/>
        <xdr:cNvSpPr txBox="1">
          <a:spLocks noChangeArrowheads="1"/>
        </xdr:cNvSpPr>
      </xdr:nvSpPr>
      <xdr:spPr>
        <a:xfrm>
          <a:off x="3876675" y="1181100"/>
          <a:ext cx="3286125" cy="1466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Kies hieronder uw bedrijfstype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door erop te klikken en vul  de gele cellen van de hoofdpagina in. Zo berekent u de kosten voor jongveeopfok op uw bedrijf. Wilt u meer details invullen dan kunt u op de hoofdpagina op onderwerpknopjes klikken en komt u automatisch bij het juiste invulblad terecht. Veel succes met invullen!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NB de resultaten van de berekening staan aan de rechterkant van de hoofdpagina in de blauwe cellen.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123825</xdr:rowOff>
    </xdr:from>
    <xdr:to>
      <xdr:col>5</xdr:col>
      <xdr:colOff>314325</xdr:colOff>
      <xdr:row>36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4695825"/>
          <a:ext cx="5295900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</xdr:row>
      <xdr:rowOff>28575</xdr:rowOff>
    </xdr:from>
    <xdr:to>
      <xdr:col>5</xdr:col>
      <xdr:colOff>885825</xdr:colOff>
      <xdr:row>6</xdr:row>
      <xdr:rowOff>28575</xdr:rowOff>
    </xdr:to>
    <xdr:sp>
      <xdr:nvSpPr>
        <xdr:cNvPr id="1" name="Lijntoelichting 3 1"/>
        <xdr:cNvSpPr>
          <a:spLocks/>
        </xdr:cNvSpPr>
      </xdr:nvSpPr>
      <xdr:spPr>
        <a:xfrm>
          <a:off x="4343400" y="266700"/>
          <a:ext cx="1400175" cy="962025"/>
        </a:xfrm>
        <a:prstGeom prst="borderCallout3">
          <a:avLst>
            <a:gd name="adj1" fmla="val -5208"/>
            <a:gd name="adj2" fmla="val 50527"/>
            <a:gd name="adj3" fmla="val 15625"/>
            <a:gd name="adj4" fmla="val 56217"/>
            <a:gd name="adj5" fmla="val 14759"/>
            <a:gd name="adj6" fmla="val 106268"/>
            <a:gd name="adj7" fmla="val -92277"/>
            <a:gd name="adj8" fmla="val 10113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Bij invullen suggestie (bijna) geen aan- en verkoop van vaarzen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31</xdr:row>
      <xdr:rowOff>66675</xdr:rowOff>
    </xdr:from>
    <xdr:to>
      <xdr:col>4</xdr:col>
      <xdr:colOff>333375</xdr:colOff>
      <xdr:row>34</xdr:row>
      <xdr:rowOff>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76200" y="4095750"/>
          <a:ext cx="6048375" cy="504825"/>
        </a:xfrm>
        <a:prstGeom prst="leftArrow">
          <a:avLst>
            <a:gd name="adj" fmla="val -4475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36</xdr:row>
      <xdr:rowOff>104775</xdr:rowOff>
    </xdr:from>
    <xdr:to>
      <xdr:col>5</xdr:col>
      <xdr:colOff>285750</xdr:colOff>
      <xdr:row>39</xdr:row>
      <xdr:rowOff>28575</xdr:rowOff>
    </xdr:to>
    <xdr:sp>
      <xdr:nvSpPr>
        <xdr:cNvPr id="1" name="PIJL-LINKS 3">
          <a:hlinkClick r:id="rId1"/>
        </xdr:cNvPr>
        <xdr:cNvSpPr>
          <a:spLocks/>
        </xdr:cNvSpPr>
      </xdr:nvSpPr>
      <xdr:spPr>
        <a:xfrm>
          <a:off x="28575" y="6962775"/>
          <a:ext cx="4743450" cy="495300"/>
        </a:xfrm>
        <a:prstGeom prst="leftArrow">
          <a:avLst>
            <a:gd name="adj" fmla="val -44337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36</xdr:row>
      <xdr:rowOff>66675</xdr:rowOff>
    </xdr:from>
    <xdr:to>
      <xdr:col>4</xdr:col>
      <xdr:colOff>257175</xdr:colOff>
      <xdr:row>39</xdr:row>
      <xdr:rowOff>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0" y="7029450"/>
          <a:ext cx="4505325" cy="504825"/>
        </a:xfrm>
        <a:prstGeom prst="leftArrow">
          <a:avLst>
            <a:gd name="adj" fmla="val -4411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123825</xdr:rowOff>
    </xdr:from>
    <xdr:to>
      <xdr:col>5</xdr:col>
      <xdr:colOff>285750</xdr:colOff>
      <xdr:row>37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5381625"/>
          <a:ext cx="4495800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35</xdr:row>
      <xdr:rowOff>133350</xdr:rowOff>
    </xdr:from>
    <xdr:to>
      <xdr:col>4</xdr:col>
      <xdr:colOff>304800</xdr:colOff>
      <xdr:row>38</xdr:row>
      <xdr:rowOff>57150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47625" y="3562350"/>
          <a:ext cx="5295900" cy="495300"/>
        </a:xfrm>
        <a:prstGeom prst="leftArrow">
          <a:avLst>
            <a:gd name="adj" fmla="val -40671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41</xdr:row>
      <xdr:rowOff>142875</xdr:rowOff>
    </xdr:from>
    <xdr:to>
      <xdr:col>4</xdr:col>
      <xdr:colOff>323850</xdr:colOff>
      <xdr:row>44</xdr:row>
      <xdr:rowOff>57150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57150" y="7953375"/>
          <a:ext cx="5200650" cy="428625"/>
        </a:xfrm>
        <a:prstGeom prst="leftArrow">
          <a:avLst>
            <a:gd name="adj" fmla="val -43893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123825</xdr:rowOff>
    </xdr:from>
    <xdr:to>
      <xdr:col>4</xdr:col>
      <xdr:colOff>276225</xdr:colOff>
      <xdr:row>36</xdr:row>
      <xdr:rowOff>47625</xdr:rowOff>
    </xdr:to>
    <xdr:sp>
      <xdr:nvSpPr>
        <xdr:cNvPr id="1" name="PIJL-LINKS 1">
          <a:hlinkClick r:id="rId1"/>
        </xdr:cNvPr>
        <xdr:cNvSpPr>
          <a:spLocks/>
        </xdr:cNvSpPr>
      </xdr:nvSpPr>
      <xdr:spPr>
        <a:xfrm>
          <a:off x="9525" y="6410325"/>
          <a:ext cx="5667375" cy="495300"/>
        </a:xfrm>
        <a:prstGeom prst="leftArrow">
          <a:avLst>
            <a:gd name="adj" fmla="val -4591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r">
            <a:defRPr/>
          </a:pP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Terug naar de </a:t>
          </a:r>
          <a:r>
            <a:rPr lang="en-US" cap="none" sz="13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hoofdpagina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85.7109375" style="7" customWidth="1"/>
    <col min="2" max="2" width="84.28125" style="7" customWidth="1"/>
    <col min="3" max="16384" width="9.140625" style="7" customWidth="1"/>
  </cols>
  <sheetData>
    <row r="1" spans="1:10" ht="61.5">
      <c r="A1" s="128" t="s">
        <v>429</v>
      </c>
      <c r="B1" s="129"/>
      <c r="H1" s="98"/>
      <c r="I1" s="98"/>
      <c r="J1" s="98"/>
    </row>
    <row r="2" spans="1:2" ht="15">
      <c r="A2" s="130" t="s">
        <v>467</v>
      </c>
      <c r="B2" s="131"/>
    </row>
    <row r="4" spans="1:2" ht="15">
      <c r="A4" s="132"/>
      <c r="B4" s="133"/>
    </row>
    <row r="5" ht="15"/>
    <row r="6" ht="15"/>
    <row r="7" ht="15"/>
    <row r="8" ht="15"/>
    <row r="9" ht="15"/>
    <row r="10" ht="15"/>
    <row r="11" ht="32.25" customHeight="1"/>
    <row r="12" spans="1:2" ht="30.75">
      <c r="A12" s="134" t="s">
        <v>428</v>
      </c>
      <c r="B12" s="135"/>
    </row>
    <row r="13" ht="15">
      <c r="B13" s="99"/>
    </row>
    <row r="19" ht="15">
      <c r="A19" s="7" t="s">
        <v>430</v>
      </c>
    </row>
    <row r="21" ht="15"/>
  </sheetData>
  <sheetProtection sheet="1" objects="1" scenarios="1"/>
  <mergeCells count="4">
    <mergeCell ref="A1:B1"/>
    <mergeCell ref="A2:B2"/>
    <mergeCell ref="A4:B4"/>
    <mergeCell ref="A12:B12"/>
  </mergeCells>
  <hyperlinks>
    <hyperlink ref="A12" location="Hoofdpagina!A1" display="Jonkos melkveebedrijf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2"/>
  <headerFooter>
    <oddHeader>&amp;C&amp;A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5.421875" style="7" customWidth="1"/>
    <col min="2" max="3" width="11.8515625" style="7" customWidth="1"/>
    <col min="4" max="4" width="4.421875" style="11" customWidth="1"/>
    <col min="5" max="6" width="11.8515625" style="7" customWidth="1"/>
    <col min="7" max="16384" width="9.140625" style="7" customWidth="1"/>
  </cols>
  <sheetData>
    <row r="1" ht="15">
      <c r="A1" s="9" t="s">
        <v>438</v>
      </c>
    </row>
    <row r="2" spans="2:6" ht="15">
      <c r="B2" s="81" t="s">
        <v>90</v>
      </c>
      <c r="C2" s="81" t="s">
        <v>75</v>
      </c>
      <c r="D2" s="83"/>
      <c r="E2" s="82" t="s">
        <v>92</v>
      </c>
      <c r="F2" s="82" t="s">
        <v>75</v>
      </c>
    </row>
    <row r="3" spans="1:7" ht="15">
      <c r="A3" s="7" t="s">
        <v>277</v>
      </c>
      <c r="B3" s="16">
        <f>'Algemeen en dieraantallen'!B8</f>
        <v>30.906</v>
      </c>
      <c r="E3" s="16">
        <f>'Algemeen en dieraantallen'!B11</f>
        <v>35.394</v>
      </c>
      <c r="G3" s="7" t="s">
        <v>44</v>
      </c>
    </row>
    <row r="5" spans="1:6" ht="15">
      <c r="A5" s="9" t="s">
        <v>284</v>
      </c>
      <c r="B5" s="81" t="s">
        <v>90</v>
      </c>
      <c r="C5" s="81" t="s">
        <v>75</v>
      </c>
      <c r="D5" s="83"/>
      <c r="E5" s="82" t="s">
        <v>92</v>
      </c>
      <c r="F5" s="82" t="s">
        <v>75</v>
      </c>
    </row>
    <row r="6" spans="1:7" ht="15">
      <c r="A6" s="7" t="s">
        <v>285</v>
      </c>
      <c r="B6" s="80">
        <f>C6</f>
        <v>15</v>
      </c>
      <c r="C6" s="3">
        <v>15</v>
      </c>
      <c r="E6" s="38">
        <f>F6</f>
        <v>45</v>
      </c>
      <c r="F6" s="26">
        <v>45</v>
      </c>
      <c r="G6" s="7" t="s">
        <v>180</v>
      </c>
    </row>
    <row r="7" spans="1:7" ht="15">
      <c r="A7" s="7" t="s">
        <v>286</v>
      </c>
      <c r="B7" s="80">
        <f>C7</f>
        <v>5</v>
      </c>
      <c r="C7" s="3">
        <v>5</v>
      </c>
      <c r="G7" s="7" t="s">
        <v>287</v>
      </c>
    </row>
    <row r="8" spans="1:13" ht="15" thickBot="1">
      <c r="A8" s="7" t="s">
        <v>288</v>
      </c>
      <c r="B8" s="23">
        <f>(B3*B7*Rantsoen!B2+(365-Rantsoen!B2)*'Water en energie'!B3*'Water en energie'!B6)/1000</f>
        <v>148.50332999999998</v>
      </c>
      <c r="E8" s="23">
        <f>((Rantsoen!E9+Rantsoen!E12)*E3*E6)/1000</f>
        <v>678.238905366</v>
      </c>
      <c r="G8" s="7" t="s">
        <v>182</v>
      </c>
      <c r="M8" s="8"/>
    </row>
    <row r="9" spans="1:14" ht="15" thickBot="1">
      <c r="A9" s="7" t="s">
        <v>289</v>
      </c>
      <c r="B9" s="127">
        <f>Hoofdpagina!B48</f>
        <v>0.73</v>
      </c>
      <c r="E9" s="127">
        <f>Hoofdpagina!B48</f>
        <v>0.73</v>
      </c>
      <c r="G9" s="7" t="s">
        <v>154</v>
      </c>
      <c r="L9" s="8" t="s">
        <v>290</v>
      </c>
      <c r="M9" s="28">
        <f>B8*E9+E8*E9</f>
        <v>603.52183181718</v>
      </c>
      <c r="N9" s="7" t="s">
        <v>52</v>
      </c>
    </row>
    <row r="11" ht="15">
      <c r="A11" s="9" t="s">
        <v>291</v>
      </c>
    </row>
    <row r="12" ht="15">
      <c r="A12" s="7" t="s">
        <v>293</v>
      </c>
    </row>
    <row r="13" spans="1:4" ht="15">
      <c r="A13" s="7" t="s">
        <v>294</v>
      </c>
      <c r="B13" s="38">
        <f>C13</f>
        <v>8</v>
      </c>
      <c r="C13" s="3">
        <v>8</v>
      </c>
      <c r="D13" s="36" t="s">
        <v>296</v>
      </c>
    </row>
    <row r="14" spans="1:4" ht="15">
      <c r="A14" s="7" t="s">
        <v>295</v>
      </c>
      <c r="B14" s="38">
        <f>C14</f>
        <v>40</v>
      </c>
      <c r="C14" s="3">
        <v>40</v>
      </c>
      <c r="D14" s="36" t="s">
        <v>296</v>
      </c>
    </row>
    <row r="15" spans="1:4" ht="15">
      <c r="A15" s="7" t="s">
        <v>297</v>
      </c>
      <c r="B15" s="23">
        <f>((B3*B7*Rantsoen!B2)/1000)*(B14-B13)*1.16</f>
        <v>384.3222912</v>
      </c>
      <c r="D15" s="7" t="s">
        <v>299</v>
      </c>
    </row>
    <row r="16" spans="1:4" ht="15">
      <c r="A16" s="7" t="s">
        <v>298</v>
      </c>
      <c r="B16" s="38">
        <f>C16</f>
        <v>0</v>
      </c>
      <c r="C16" s="3">
        <f>IF('Arbeid+installaties'!B3&gt;0,815,0)</f>
        <v>0</v>
      </c>
      <c r="D16" s="7" t="s">
        <v>299</v>
      </c>
    </row>
    <row r="17" spans="1:4" ht="15">
      <c r="A17" s="7" t="s">
        <v>300</v>
      </c>
      <c r="B17" s="38">
        <f>C17</f>
        <v>0</v>
      </c>
      <c r="C17" s="3">
        <f>IF('Arbeid+installaties'!B4&gt;0,80,0)</f>
        <v>0</v>
      </c>
      <c r="D17" s="7" t="s">
        <v>299</v>
      </c>
    </row>
    <row r="18" spans="1:4" ht="15">
      <c r="A18" s="7" t="s">
        <v>301</v>
      </c>
      <c r="B18" s="38">
        <f>C18</f>
        <v>0</v>
      </c>
      <c r="C18" s="3">
        <f>IF('Arbeid+installaties'!B5&gt;0,80,0)</f>
        <v>0</v>
      </c>
      <c r="D18" s="7" t="s">
        <v>299</v>
      </c>
    </row>
    <row r="19" spans="1:4" ht="15">
      <c r="A19" s="7" t="s">
        <v>302</v>
      </c>
      <c r="B19" s="38">
        <f>C19</f>
        <v>0</v>
      </c>
      <c r="C19" s="3">
        <v>0</v>
      </c>
      <c r="D19" s="7" t="s">
        <v>299</v>
      </c>
    </row>
    <row r="20" spans="1:4" ht="15">
      <c r="A20" s="7" t="s">
        <v>303</v>
      </c>
      <c r="B20" s="38">
        <f>C20</f>
        <v>150</v>
      </c>
      <c r="C20" s="3">
        <v>150</v>
      </c>
      <c r="D20" s="7" t="s">
        <v>299</v>
      </c>
    </row>
    <row r="21" spans="1:4" ht="15" thickBot="1">
      <c r="A21" s="7" t="s">
        <v>304</v>
      </c>
      <c r="B21" s="23">
        <f>SUM(B15:B20)</f>
        <v>534.3222912</v>
      </c>
      <c r="D21" s="7" t="s">
        <v>299</v>
      </c>
    </row>
    <row r="22" spans="1:14" ht="15" thickBot="1">
      <c r="A22" s="7" t="s">
        <v>306</v>
      </c>
      <c r="B22" s="44">
        <f>C22</f>
        <v>0.21</v>
      </c>
      <c r="C22" s="31">
        <v>0.21</v>
      </c>
      <c r="D22" s="7" t="s">
        <v>305</v>
      </c>
      <c r="L22" s="8" t="s">
        <v>307</v>
      </c>
      <c r="M22" s="28">
        <f>B21*B22</f>
        <v>112.20768115199999</v>
      </c>
      <c r="N22" s="7" t="s">
        <v>52</v>
      </c>
    </row>
    <row r="24" ht="15">
      <c r="A24" s="7" t="s">
        <v>292</v>
      </c>
    </row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2"/>
  <headerFooter>
    <oddHeader>&amp;C&amp;A</oddHeader>
  </headerFooter>
  <ignoredErrors>
    <ignoredError sqref="E4 E6:E8 B6:C8 C15:C21 B22 B4:C4 B10:C14 E10:E12" unlockedFormula="1"/>
    <ignoredError sqref="B15:B21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9"/>
  <sheetViews>
    <sheetView showGridLines="0" zoomScalePageLayoutView="0" workbookViewId="0" topLeftCell="A1">
      <selection activeCell="I23" activeCellId="2" sqref="I19 I20 I23"/>
    </sheetView>
  </sheetViews>
  <sheetFormatPr defaultColWidth="9.140625" defaultRowHeight="15"/>
  <cols>
    <col min="1" max="1" width="38.140625" style="7" customWidth="1"/>
    <col min="2" max="3" width="9.140625" style="7" customWidth="1"/>
    <col min="4" max="4" width="7.28125" style="7" customWidth="1"/>
    <col min="5" max="5" width="9.140625" style="7" customWidth="1"/>
    <col min="6" max="6" width="14.421875" style="7" customWidth="1"/>
    <col min="7" max="7" width="9.140625" style="7" customWidth="1"/>
    <col min="8" max="8" width="21.421875" style="7" customWidth="1"/>
    <col min="9" max="9" width="13.140625" style="7" customWidth="1"/>
    <col min="10" max="10" width="10.140625" style="8" customWidth="1"/>
    <col min="11" max="12" width="13.140625" style="8" customWidth="1"/>
    <col min="13" max="14" width="5.28125" style="7" customWidth="1"/>
    <col min="15" max="16384" width="9.140625" style="7" customWidth="1"/>
  </cols>
  <sheetData>
    <row r="1" spans="1:14" ht="18.75">
      <c r="A1" s="6" t="s">
        <v>0</v>
      </c>
      <c r="B1" s="1" t="s">
        <v>350</v>
      </c>
      <c r="C1" s="1"/>
      <c r="D1" s="1"/>
      <c r="E1" s="138" t="s">
        <v>351</v>
      </c>
      <c r="F1" s="139"/>
      <c r="G1" s="54" t="s">
        <v>16</v>
      </c>
      <c r="H1" s="55"/>
      <c r="I1" s="55"/>
      <c r="J1" s="56"/>
      <c r="K1" s="56"/>
      <c r="L1" s="56"/>
      <c r="M1" s="57"/>
      <c r="N1" s="11"/>
    </row>
    <row r="2" spans="1:14" ht="15" customHeight="1">
      <c r="A2" s="14" t="s">
        <v>43</v>
      </c>
      <c r="G2" s="58"/>
      <c r="H2" s="11"/>
      <c r="I2" s="11"/>
      <c r="J2" s="52"/>
      <c r="K2" s="52"/>
      <c r="L2" s="52"/>
      <c r="M2" s="59"/>
      <c r="N2" s="11"/>
    </row>
    <row r="3" spans="1:14" ht="15">
      <c r="A3" s="13" t="s">
        <v>367</v>
      </c>
      <c r="C3" s="15" t="s">
        <v>333</v>
      </c>
      <c r="G3" s="58"/>
      <c r="H3" s="11"/>
      <c r="I3" s="11" t="s">
        <v>432</v>
      </c>
      <c r="J3" s="52"/>
      <c r="K3" s="52" t="s">
        <v>400</v>
      </c>
      <c r="L3" s="52" t="s">
        <v>401</v>
      </c>
      <c r="M3" s="59"/>
      <c r="N3" s="11"/>
    </row>
    <row r="4" spans="1:14" ht="15">
      <c r="A4" s="7" t="s">
        <v>392</v>
      </c>
      <c r="B4" s="38">
        <v>800000</v>
      </c>
      <c r="D4" s="7" t="s">
        <v>85</v>
      </c>
      <c r="G4" s="62" t="s">
        <v>402</v>
      </c>
      <c r="H4" s="11"/>
      <c r="I4" s="100">
        <f>IF($B$93=1,I92,J92)</f>
        <v>2341.785185642473</v>
      </c>
      <c r="J4" s="91"/>
      <c r="K4" s="103">
        <f>(I4*$B$6)/($B$4/100)</f>
        <v>8.781694446159275</v>
      </c>
      <c r="L4" s="103">
        <f>I4/(Rantsoen!$B$9+Rantsoen!$B$12+Rantsoen!$E$9+Rantsoen!$E$12)</f>
        <v>2.961158211977268</v>
      </c>
      <c r="M4" s="59"/>
      <c r="N4" s="11"/>
    </row>
    <row r="5" spans="1:14" ht="15">
      <c r="A5" s="7" t="s">
        <v>379</v>
      </c>
      <c r="B5" s="72">
        <v>100</v>
      </c>
      <c r="D5" s="7" t="s">
        <v>44</v>
      </c>
      <c r="G5" s="58" t="s">
        <v>31</v>
      </c>
      <c r="H5" s="11"/>
      <c r="I5" s="101">
        <f aca="true" t="shared" si="0" ref="I5:I13">IF($B$93=1,I93,J93)</f>
        <v>1736.2439889534476</v>
      </c>
      <c r="J5" s="52"/>
      <c r="K5" s="104">
        <f>(I5*$B$6)/($B$4/100)</f>
        <v>6.5109149585754285</v>
      </c>
      <c r="L5" s="104">
        <f>I5/(Rantsoen!$B$9+Rantsoen!$B$12+Rantsoen!$E$9+Rantsoen!$E$12)</f>
        <v>2.1954589077627746</v>
      </c>
      <c r="M5" s="59"/>
      <c r="N5" s="11"/>
    </row>
    <row r="6" spans="1:14" ht="15.75" thickBot="1">
      <c r="A6" s="7" t="s">
        <v>382</v>
      </c>
      <c r="B6" s="38">
        <v>30</v>
      </c>
      <c r="C6" s="86"/>
      <c r="D6" s="7" t="s">
        <v>44</v>
      </c>
      <c r="G6" s="78"/>
      <c r="H6" s="11"/>
      <c r="I6" s="35"/>
      <c r="J6" s="52"/>
      <c r="K6" s="52"/>
      <c r="L6" s="52"/>
      <c r="M6" s="59"/>
      <c r="N6" s="11"/>
    </row>
    <row r="7" spans="1:14" ht="15">
      <c r="A7" s="7" t="s">
        <v>60</v>
      </c>
      <c r="B7" s="85"/>
      <c r="C7" s="87"/>
      <c r="D7" s="7" t="s">
        <v>322</v>
      </c>
      <c r="G7" s="96" t="s">
        <v>431</v>
      </c>
      <c r="H7" s="55"/>
      <c r="I7" s="112"/>
      <c r="J7" s="56"/>
      <c r="K7" s="56"/>
      <c r="L7" s="56"/>
      <c r="M7" s="57"/>
      <c r="N7" s="11"/>
    </row>
    <row r="8" spans="1:14" ht="15">
      <c r="A8" s="7" t="s">
        <v>381</v>
      </c>
      <c r="B8" s="43">
        <v>66.3</v>
      </c>
      <c r="C8" s="88">
        <f>((('Algemeen en dieraantallen'!B4-12)/12)*B6)*((100+0.5*'Algemeen en dieraantallen'!B7)/100)+B6*((100+'Algemeen en dieraantallen'!B6)/100)*((100+'Algemeen en dieraantallen'!B7/2)/100)</f>
        <v>66.256</v>
      </c>
      <c r="D8" s="7" t="s">
        <v>395</v>
      </c>
      <c r="G8" s="90" t="s">
        <v>18</v>
      </c>
      <c r="H8" s="11"/>
      <c r="I8" s="101">
        <f t="shared" si="0"/>
        <v>195.99140188951617</v>
      </c>
      <c r="J8" s="52"/>
      <c r="K8" s="52"/>
      <c r="L8" s="52"/>
      <c r="M8" s="59"/>
      <c r="N8" s="11"/>
    </row>
    <row r="9" spans="1:14" ht="15" customHeight="1">
      <c r="A9" s="50" t="str">
        <f>IF('Algemeen en dieraantallen'!B16&gt;0,"Bij deze uitgangspunten worden "&amp;TEXT('Algemeen en dieraantallen'!B16,"0.0")&amp;" drachtige vaarzen verkocht ","Deze uitgangspunten leiden tot aankoop van "&amp;TEXT('Algemeen en dieraantallen'!B16*-1,"0.0")&amp;" drachtige vaarzen")</f>
        <v>Bij deze uitgangspunten worden 0.0 drachtige vaarzen verkocht </v>
      </c>
      <c r="G9" s="61" t="s">
        <v>19</v>
      </c>
      <c r="H9" s="11"/>
      <c r="I9" s="102">
        <f t="shared" si="0"/>
        <v>195.99140188951617</v>
      </c>
      <c r="J9" s="52"/>
      <c r="K9" s="52"/>
      <c r="L9" s="52"/>
      <c r="M9" s="59"/>
      <c r="N9" s="11"/>
    </row>
    <row r="10" spans="1:14" ht="15" customHeight="1">
      <c r="A10" s="69"/>
      <c r="G10" s="61" t="s">
        <v>20</v>
      </c>
      <c r="H10" s="11"/>
      <c r="I10" s="102">
        <f t="shared" si="0"/>
        <v>0</v>
      </c>
      <c r="J10" s="52"/>
      <c r="K10" s="52"/>
      <c r="L10" s="52"/>
      <c r="M10" s="59"/>
      <c r="N10" s="11"/>
    </row>
    <row r="11" spans="1:14" ht="15" customHeight="1">
      <c r="A11" s="7" t="s">
        <v>385</v>
      </c>
      <c r="B11" s="4">
        <f>B6/B5</f>
        <v>0.3</v>
      </c>
      <c r="C11" s="2">
        <v>30</v>
      </c>
      <c r="D11" s="7" t="s">
        <v>6</v>
      </c>
      <c r="G11" s="90" t="s">
        <v>7</v>
      </c>
      <c r="H11" s="11"/>
      <c r="I11" s="101">
        <f t="shared" si="0"/>
        <v>217.00596759632643</v>
      </c>
      <c r="J11" s="52"/>
      <c r="K11" s="52"/>
      <c r="L11" s="52"/>
      <c r="M11" s="59"/>
      <c r="N11" s="11"/>
    </row>
    <row r="12" spans="1:14" ht="15">
      <c r="A12" s="7" t="s">
        <v>318</v>
      </c>
      <c r="B12" s="38">
        <v>3.5</v>
      </c>
      <c r="C12" s="2">
        <v>3.5</v>
      </c>
      <c r="D12" s="7" t="s">
        <v>6</v>
      </c>
      <c r="G12" s="61" t="s">
        <v>21</v>
      </c>
      <c r="H12" s="11"/>
      <c r="I12" s="102">
        <f t="shared" si="0"/>
        <v>57.9580628571983</v>
      </c>
      <c r="J12" s="52"/>
      <c r="K12" s="52"/>
      <c r="L12" s="52"/>
      <c r="M12" s="59"/>
      <c r="N12" s="11"/>
    </row>
    <row r="13" spans="7:14" ht="15">
      <c r="G13" s="61" t="s">
        <v>22</v>
      </c>
      <c r="H13" s="11"/>
      <c r="I13" s="102">
        <f t="shared" si="0"/>
        <v>59.60606060606061</v>
      </c>
      <c r="J13" s="52"/>
      <c r="K13" s="52"/>
      <c r="L13" s="52"/>
      <c r="M13" s="59"/>
      <c r="N13" s="11"/>
    </row>
    <row r="14" spans="1:14" ht="15" customHeight="1">
      <c r="A14" s="13" t="s">
        <v>1</v>
      </c>
      <c r="G14" s="61" t="s">
        <v>23</v>
      </c>
      <c r="H14" s="11"/>
      <c r="I14" s="102">
        <f>IF($B$93=1,I104,J104)</f>
        <v>49.497326773983836</v>
      </c>
      <c r="J14" s="52"/>
      <c r="K14" s="52"/>
      <c r="L14" s="52"/>
      <c r="M14" s="59"/>
      <c r="N14" s="11"/>
    </row>
    <row r="15" spans="1:14" ht="15" customHeight="1">
      <c r="A15" s="7" t="s">
        <v>2</v>
      </c>
      <c r="B15" s="38">
        <v>90</v>
      </c>
      <c r="C15" s="3">
        <v>90</v>
      </c>
      <c r="D15" s="7" t="s">
        <v>53</v>
      </c>
      <c r="G15" s="61" t="s">
        <v>399</v>
      </c>
      <c r="H15" s="11"/>
      <c r="I15" s="102">
        <f>IF($B$93=1,I102+I103+I105,J102+J103+J105)</f>
        <v>49.94451735908366</v>
      </c>
      <c r="J15" s="52"/>
      <c r="K15" s="52"/>
      <c r="L15" s="52"/>
      <c r="M15" s="59"/>
      <c r="N15" s="11"/>
    </row>
    <row r="16" spans="1:14" ht="15" customHeight="1">
      <c r="A16" s="7" t="s">
        <v>3</v>
      </c>
      <c r="B16" s="38">
        <v>180</v>
      </c>
      <c r="C16" s="3">
        <v>180</v>
      </c>
      <c r="D16" s="7" t="s">
        <v>53</v>
      </c>
      <c r="G16" s="58" t="s">
        <v>25</v>
      </c>
      <c r="H16" s="11"/>
      <c r="I16" s="101">
        <f aca="true" t="shared" si="1" ref="I16:I24">IF($B$93=1,I106,J106)</f>
        <v>199.82143747891027</v>
      </c>
      <c r="J16" s="52"/>
      <c r="K16" s="52"/>
      <c r="L16" s="52"/>
      <c r="M16" s="59"/>
      <c r="N16" s="11"/>
    </row>
    <row r="17" spans="1:14" ht="15" customHeight="1">
      <c r="A17" s="7" t="s">
        <v>4</v>
      </c>
      <c r="B17" s="38">
        <v>10</v>
      </c>
      <c r="C17" s="3">
        <v>10</v>
      </c>
      <c r="D17" s="7" t="s">
        <v>6</v>
      </c>
      <c r="G17" s="58" t="s">
        <v>26</v>
      </c>
      <c r="H17" s="11"/>
      <c r="I17" s="101">
        <f t="shared" si="1"/>
        <v>327.40194844023523</v>
      </c>
      <c r="J17" s="52"/>
      <c r="K17" s="52"/>
      <c r="L17" s="52"/>
      <c r="M17" s="59"/>
      <c r="N17" s="11"/>
    </row>
    <row r="18" spans="1:14" ht="15" customHeight="1">
      <c r="A18" s="7" t="s">
        <v>5</v>
      </c>
      <c r="B18" s="38">
        <v>10</v>
      </c>
      <c r="C18" s="3">
        <v>10</v>
      </c>
      <c r="D18" s="7" t="s">
        <v>6</v>
      </c>
      <c r="G18" s="58" t="s">
        <v>27</v>
      </c>
      <c r="H18" s="11"/>
      <c r="I18" s="101">
        <f t="shared" si="1"/>
        <v>0</v>
      </c>
      <c r="J18" s="52"/>
      <c r="K18" s="52"/>
      <c r="L18" s="52"/>
      <c r="M18" s="59"/>
      <c r="N18" s="11"/>
    </row>
    <row r="19" spans="1:14" ht="15" customHeight="1">
      <c r="A19" s="7" t="s">
        <v>387</v>
      </c>
      <c r="B19" s="38">
        <v>1.02</v>
      </c>
      <c r="C19" s="3">
        <v>1.02</v>
      </c>
      <c r="D19" s="7" t="s">
        <v>45</v>
      </c>
      <c r="G19" s="58" t="s">
        <v>10</v>
      </c>
      <c r="H19" s="11"/>
      <c r="I19" s="101">
        <f t="shared" si="1"/>
        <v>373.46934765522656</v>
      </c>
      <c r="J19" s="52"/>
      <c r="K19" s="52"/>
      <c r="L19" s="52"/>
      <c r="M19" s="59"/>
      <c r="N19" s="11"/>
    </row>
    <row r="20" spans="1:14" ht="15" customHeight="1">
      <c r="A20" s="7" t="s">
        <v>388</v>
      </c>
      <c r="B20" s="38">
        <v>0.93</v>
      </c>
      <c r="C20" s="3">
        <v>0.93</v>
      </c>
      <c r="D20" s="7" t="s">
        <v>45</v>
      </c>
      <c r="G20" s="58" t="s">
        <v>28</v>
      </c>
      <c r="H20" s="11"/>
      <c r="I20" s="101">
        <f t="shared" si="1"/>
        <v>370.43932429914025</v>
      </c>
      <c r="J20" s="52"/>
      <c r="K20" s="52"/>
      <c r="L20" s="52"/>
      <c r="M20" s="59"/>
      <c r="N20" s="11"/>
    </row>
    <row r="21" spans="1:14" ht="15" customHeight="1">
      <c r="A21" s="7" t="s">
        <v>389</v>
      </c>
      <c r="B21" s="38">
        <v>0</v>
      </c>
      <c r="C21" s="3">
        <v>0</v>
      </c>
      <c r="D21" s="7" t="s">
        <v>46</v>
      </c>
      <c r="G21" s="58" t="s">
        <v>438</v>
      </c>
      <c r="H21" s="11"/>
      <c r="I21" s="101">
        <f t="shared" si="1"/>
        <v>23.83037486610211</v>
      </c>
      <c r="J21" s="52"/>
      <c r="K21" s="52"/>
      <c r="L21" s="52"/>
      <c r="M21" s="59"/>
      <c r="N21" s="11"/>
    </row>
    <row r="22" spans="1:14" ht="15" customHeight="1">
      <c r="A22" s="7" t="s">
        <v>390</v>
      </c>
      <c r="B22" s="38">
        <v>0</v>
      </c>
      <c r="C22" s="3">
        <v>0</v>
      </c>
      <c r="D22" s="7" t="s">
        <v>46</v>
      </c>
      <c r="G22" s="58" t="s">
        <v>29</v>
      </c>
      <c r="H22" s="11"/>
      <c r="I22" s="101">
        <f t="shared" si="1"/>
        <v>0</v>
      </c>
      <c r="J22" s="52"/>
      <c r="K22" s="52"/>
      <c r="L22" s="52"/>
      <c r="M22" s="59"/>
      <c r="N22" s="11"/>
    </row>
    <row r="23" spans="1:14" ht="15" customHeight="1">
      <c r="A23" s="49" t="s">
        <v>391</v>
      </c>
      <c r="G23" s="58" t="s">
        <v>14</v>
      </c>
      <c r="H23" s="11"/>
      <c r="I23" s="101">
        <f t="shared" si="1"/>
        <v>605.5411966890255</v>
      </c>
      <c r="J23" s="52"/>
      <c r="K23" s="52"/>
      <c r="L23" s="52"/>
      <c r="M23" s="59"/>
      <c r="N23" s="11"/>
    </row>
    <row r="24" spans="7:14" ht="15" customHeight="1">
      <c r="G24" s="58" t="s">
        <v>335</v>
      </c>
      <c r="H24" s="11"/>
      <c r="I24" s="101">
        <f t="shared" si="1"/>
        <v>28.28418672799076</v>
      </c>
      <c r="J24" s="52"/>
      <c r="K24" s="52"/>
      <c r="L24" s="52"/>
      <c r="M24" s="59"/>
      <c r="N24" s="11"/>
    </row>
    <row r="25" spans="1:14" ht="15" customHeight="1" thickBot="1">
      <c r="A25" s="13" t="s">
        <v>145</v>
      </c>
      <c r="G25" s="119" t="s">
        <v>460</v>
      </c>
      <c r="H25" s="120"/>
      <c r="I25" s="121">
        <f>I115</f>
        <v>0</v>
      </c>
      <c r="J25" s="113"/>
      <c r="K25" s="65"/>
      <c r="L25" s="65"/>
      <c r="M25" s="66"/>
      <c r="N25" s="11"/>
    </row>
    <row r="26" spans="1:14" ht="15" customHeight="1">
      <c r="A26" s="7" t="s">
        <v>56</v>
      </c>
      <c r="G26" s="62" t="s">
        <v>403</v>
      </c>
      <c r="H26" s="11"/>
      <c r="I26" s="11"/>
      <c r="J26" s="52"/>
      <c r="K26" s="52"/>
      <c r="L26" s="52"/>
      <c r="M26" s="59"/>
      <c r="N26" s="11"/>
    </row>
    <row r="27" spans="1:14" ht="15" customHeight="1">
      <c r="A27" s="7" t="s">
        <v>380</v>
      </c>
      <c r="G27" s="58" t="s">
        <v>404</v>
      </c>
      <c r="H27" s="11"/>
      <c r="I27" s="101">
        <f>I4*(B6+'Algemeen en dieraantallen'!B16)</f>
        <v>70333.96578173434</v>
      </c>
      <c r="J27" s="95" t="s">
        <v>413</v>
      </c>
      <c r="K27" s="52"/>
      <c r="L27" s="52"/>
      <c r="M27" s="59"/>
      <c r="N27" s="11"/>
    </row>
    <row r="28" spans="1:14" ht="15" customHeight="1">
      <c r="A28" s="7" t="s">
        <v>345</v>
      </c>
      <c r="B28" s="38">
        <f>C28</f>
        <v>78</v>
      </c>
      <c r="C28" s="115">
        <v>78</v>
      </c>
      <c r="D28" s="7" t="s">
        <v>386</v>
      </c>
      <c r="G28" s="58" t="s">
        <v>405</v>
      </c>
      <c r="H28" s="11"/>
      <c r="I28" s="101">
        <f>IF($B$93=1,I117,J117)</f>
        <v>945.7236</v>
      </c>
      <c r="J28" s="95" t="s">
        <v>413</v>
      </c>
      <c r="K28" s="52"/>
      <c r="L28" s="52"/>
      <c r="M28" s="59"/>
      <c r="N28" s="11"/>
    </row>
    <row r="29" spans="1:14" ht="15" customHeight="1">
      <c r="A29" s="7" t="s">
        <v>348</v>
      </c>
      <c r="B29" s="38">
        <f>C29</f>
        <v>42</v>
      </c>
      <c r="C29" s="115">
        <v>42</v>
      </c>
      <c r="D29" s="7" t="s">
        <v>386</v>
      </c>
      <c r="G29" s="58" t="s">
        <v>407</v>
      </c>
      <c r="H29" s="11"/>
      <c r="I29" s="101">
        <f>IF($B$93=1,I118,J118)</f>
        <v>0</v>
      </c>
      <c r="J29" s="95" t="s">
        <v>413</v>
      </c>
      <c r="K29" s="52"/>
      <c r="L29" s="52"/>
      <c r="M29" s="59"/>
      <c r="N29" s="11"/>
    </row>
    <row r="30" spans="3:14" ht="15" customHeight="1">
      <c r="C30" s="21"/>
      <c r="G30" s="62" t="s">
        <v>408</v>
      </c>
      <c r="H30" s="79"/>
      <c r="I30" s="100">
        <f>I27+I28+I29</f>
        <v>71279.68938173434</v>
      </c>
      <c r="J30" s="95"/>
      <c r="K30" s="52"/>
      <c r="L30" s="52"/>
      <c r="M30" s="59"/>
      <c r="N30" s="11"/>
    </row>
    <row r="31" spans="1:14" ht="15" customHeight="1">
      <c r="A31" s="13" t="s">
        <v>7</v>
      </c>
      <c r="C31" s="21"/>
      <c r="G31" s="90" t="s">
        <v>409</v>
      </c>
      <c r="H31" s="11"/>
      <c r="I31" s="101">
        <f>IF($B$93=1,I119,J119)</f>
        <v>0</v>
      </c>
      <c r="J31" s="95" t="s">
        <v>414</v>
      </c>
      <c r="K31" s="52"/>
      <c r="L31" s="52"/>
      <c r="M31" s="59"/>
      <c r="N31" s="11"/>
    </row>
    <row r="32" spans="1:14" ht="15" customHeight="1" thickBot="1">
      <c r="A32" s="7" t="s">
        <v>8</v>
      </c>
      <c r="B32" s="38">
        <f>C32</f>
        <v>38</v>
      </c>
      <c r="C32" s="117">
        <v>38</v>
      </c>
      <c r="D32" s="7" t="s">
        <v>47</v>
      </c>
      <c r="G32" s="92" t="s">
        <v>410</v>
      </c>
      <c r="H32" s="93"/>
      <c r="I32" s="105">
        <f>I30-I31</f>
        <v>71279.68938173434</v>
      </c>
      <c r="J32" s="65"/>
      <c r="K32" s="65"/>
      <c r="L32" s="65"/>
      <c r="M32" s="66"/>
      <c r="N32" s="11"/>
    </row>
    <row r="33" spans="1:9" ht="15" customHeight="1">
      <c r="A33" s="7" t="s">
        <v>9</v>
      </c>
      <c r="B33" s="38">
        <f>C33</f>
        <v>16</v>
      </c>
      <c r="C33" s="117">
        <v>16</v>
      </c>
      <c r="D33" s="7" t="s">
        <v>47</v>
      </c>
      <c r="G33" s="11"/>
      <c r="H33" s="11"/>
      <c r="I33" s="11"/>
    </row>
    <row r="34" spans="1:9" ht="15" customHeight="1">
      <c r="A34" s="7" t="s">
        <v>341</v>
      </c>
      <c r="B34" s="11"/>
      <c r="C34" s="23">
        <f>Vee!N16</f>
        <v>979.3428</v>
      </c>
      <c r="D34" s="7" t="s">
        <v>342</v>
      </c>
      <c r="F34" s="69" t="s">
        <v>343</v>
      </c>
      <c r="G34" s="11"/>
      <c r="H34" s="11"/>
      <c r="I34" s="11"/>
    </row>
    <row r="35" ht="15" customHeight="1">
      <c r="F35" s="70"/>
    </row>
    <row r="36" spans="1:6" ht="15" customHeight="1">
      <c r="A36" s="13" t="s">
        <v>12</v>
      </c>
      <c r="F36" s="70"/>
    </row>
    <row r="37" spans="1:6" ht="15" customHeight="1">
      <c r="A37" s="7" t="s">
        <v>319</v>
      </c>
      <c r="B37" s="114">
        <v>2405</v>
      </c>
      <c r="C37" s="136" t="s">
        <v>457</v>
      </c>
      <c r="D37" s="137"/>
      <c r="E37" s="7" t="s">
        <v>47</v>
      </c>
      <c r="F37" s="69" t="s">
        <v>334</v>
      </c>
    </row>
    <row r="38" spans="1:6" ht="15" customHeight="1">
      <c r="A38" s="7" t="s">
        <v>320</v>
      </c>
      <c r="B38" s="114">
        <v>2595</v>
      </c>
      <c r="C38" s="136" t="s">
        <v>458</v>
      </c>
      <c r="D38" s="137"/>
      <c r="E38" s="7" t="s">
        <v>47</v>
      </c>
      <c r="F38" s="69" t="s">
        <v>334</v>
      </c>
    </row>
    <row r="39" spans="1:6" ht="15" customHeight="1">
      <c r="A39" s="7" t="s">
        <v>11</v>
      </c>
      <c r="B39" s="114">
        <v>627</v>
      </c>
      <c r="C39" s="118">
        <v>627</v>
      </c>
      <c r="D39" s="21" t="s">
        <v>48</v>
      </c>
      <c r="F39" s="70"/>
    </row>
    <row r="40" spans="1:6" ht="15" customHeight="1">
      <c r="A40" s="9"/>
      <c r="F40" s="70"/>
    </row>
    <row r="41" spans="1:6" ht="15" customHeight="1">
      <c r="A41" s="13" t="s">
        <v>144</v>
      </c>
      <c r="F41" s="70"/>
    </row>
    <row r="42" spans="1:6" ht="15" customHeight="1">
      <c r="A42" s="12" t="s">
        <v>13</v>
      </c>
      <c r="B42" s="38">
        <v>15</v>
      </c>
      <c r="C42" s="115">
        <v>15</v>
      </c>
      <c r="D42" s="7" t="s">
        <v>49</v>
      </c>
      <c r="F42" s="70"/>
    </row>
    <row r="43" spans="3:6" ht="15" customHeight="1">
      <c r="C43" s="21"/>
      <c r="F43" s="70"/>
    </row>
    <row r="44" spans="1:6" ht="15" customHeight="1">
      <c r="A44" s="13" t="s">
        <v>51</v>
      </c>
      <c r="C44" s="21"/>
      <c r="F44" s="69" t="s">
        <v>349</v>
      </c>
    </row>
    <row r="45" spans="1:9" ht="15">
      <c r="A45" s="12" t="s">
        <v>15</v>
      </c>
      <c r="B45" s="38">
        <v>27</v>
      </c>
      <c r="C45" s="115">
        <v>27</v>
      </c>
      <c r="D45" s="7" t="s">
        <v>50</v>
      </c>
      <c r="F45" s="8"/>
      <c r="G45" s="8" t="s">
        <v>368</v>
      </c>
      <c r="H45" s="51">
        <f>'Arbeid+installaties'!L21</f>
        <v>648.354</v>
      </c>
      <c r="I45" s="7" t="s">
        <v>369</v>
      </c>
    </row>
    <row r="46" spans="3:9" ht="15">
      <c r="C46" s="21"/>
      <c r="F46" s="8"/>
      <c r="G46" s="8" t="s">
        <v>344</v>
      </c>
      <c r="H46" s="51">
        <f>'Arbeid+installaties'!L31</f>
        <v>18187.02845524736</v>
      </c>
      <c r="I46" s="7" t="s">
        <v>52</v>
      </c>
    </row>
    <row r="47" spans="1:3" ht="15">
      <c r="A47" s="13" t="s">
        <v>438</v>
      </c>
      <c r="C47" s="21"/>
    </row>
    <row r="48" spans="1:4" ht="15">
      <c r="A48" s="7" t="s">
        <v>393</v>
      </c>
      <c r="B48" s="38">
        <v>0.73</v>
      </c>
      <c r="C48" s="115">
        <v>0.73</v>
      </c>
      <c r="D48" s="7" t="s">
        <v>394</v>
      </c>
    </row>
    <row r="49" ht="15"/>
    <row r="50" ht="15" customHeight="1" hidden="1">
      <c r="A50" s="7" t="s">
        <v>57</v>
      </c>
    </row>
    <row r="51" spans="1:7" ht="15" customHeight="1" hidden="1">
      <c r="A51" s="7" t="s">
        <v>58</v>
      </c>
      <c r="B51" s="7" t="s">
        <v>38</v>
      </c>
      <c r="C51" s="39">
        <v>1</v>
      </c>
      <c r="G51" s="18" t="s">
        <v>450</v>
      </c>
    </row>
    <row r="52" spans="1:8" ht="15" customHeight="1" hidden="1">
      <c r="A52" s="7" t="s">
        <v>59</v>
      </c>
      <c r="G52" s="18" t="s">
        <v>448</v>
      </c>
      <c r="H52" s="18" t="s">
        <v>449</v>
      </c>
    </row>
    <row r="53" spans="2:15" ht="15" customHeight="1" hidden="1">
      <c r="B53" s="7" t="s">
        <v>38</v>
      </c>
      <c r="C53" s="39">
        <v>2</v>
      </c>
      <c r="E53" s="8" t="s">
        <v>132</v>
      </c>
      <c r="F53" s="8" t="s">
        <v>133</v>
      </c>
      <c r="G53" s="7" t="s">
        <v>170</v>
      </c>
      <c r="H53" s="8" t="s">
        <v>173</v>
      </c>
      <c r="J53" s="7" t="s">
        <v>171</v>
      </c>
      <c r="K53" s="7"/>
      <c r="L53" s="8" t="s">
        <v>200</v>
      </c>
      <c r="M53" s="7" t="s">
        <v>445</v>
      </c>
      <c r="N53" s="7" t="s">
        <v>446</v>
      </c>
      <c r="O53" s="7" t="s">
        <v>441</v>
      </c>
    </row>
    <row r="54" spans="1:15" ht="15" customHeight="1" hidden="1">
      <c r="A54" s="7" t="s">
        <v>32</v>
      </c>
      <c r="C54" s="39"/>
      <c r="D54" s="39">
        <f>IF($C$53=1,"*",0)</f>
        <v>0</v>
      </c>
      <c r="E54" s="7">
        <v>9500</v>
      </c>
      <c r="F54" s="7">
        <v>12500</v>
      </c>
      <c r="G54" s="18">
        <v>258</v>
      </c>
      <c r="H54" s="18">
        <v>185</v>
      </c>
      <c r="J54" s="18">
        <v>215</v>
      </c>
      <c r="K54" s="7"/>
      <c r="L54" s="107">
        <v>250</v>
      </c>
      <c r="M54" s="18">
        <f>IF(Mest!F45=2,112,140)</f>
        <v>140</v>
      </c>
      <c r="N54" s="18">
        <f>IF(Mest!F45=2,112,140)</f>
        <v>140</v>
      </c>
      <c r="O54" s="18">
        <v>230</v>
      </c>
    </row>
    <row r="55" spans="1:15" ht="15" customHeight="1" hidden="1">
      <c r="A55" s="7" t="s">
        <v>33</v>
      </c>
      <c r="D55" s="39" t="str">
        <f>IF($C$53=2,"*",0)</f>
        <v>*</v>
      </c>
      <c r="E55" s="7">
        <v>11000</v>
      </c>
      <c r="F55" s="7">
        <v>14500</v>
      </c>
      <c r="G55" s="18">
        <v>258</v>
      </c>
      <c r="H55" s="18">
        <v>185</v>
      </c>
      <c r="J55" s="18">
        <v>215</v>
      </c>
      <c r="K55" s="7"/>
      <c r="L55" s="107">
        <v>250</v>
      </c>
      <c r="M55" s="18">
        <f>IF(Mest!F45=2,112,140)</f>
        <v>140</v>
      </c>
      <c r="N55" s="18">
        <f>IF(Mest!F45=2,112,140)</f>
        <v>140</v>
      </c>
      <c r="O55" s="18">
        <v>230</v>
      </c>
    </row>
    <row r="56" spans="1:15" ht="15" hidden="1">
      <c r="A56" s="7" t="s">
        <v>34</v>
      </c>
      <c r="D56" s="40">
        <f>IF($C$53=3,"*",0)</f>
        <v>0</v>
      </c>
      <c r="E56" s="7">
        <v>12500</v>
      </c>
      <c r="F56" s="7">
        <v>15500</v>
      </c>
      <c r="G56" s="18">
        <v>258</v>
      </c>
      <c r="H56" s="18">
        <v>185</v>
      </c>
      <c r="J56" s="18">
        <v>215</v>
      </c>
      <c r="K56" s="7"/>
      <c r="L56" s="107">
        <v>250</v>
      </c>
      <c r="M56" s="18">
        <f>IF(Mest!F45=2,112,140)</f>
        <v>140</v>
      </c>
      <c r="N56" s="18">
        <f>IF(Mest!F45=2,112,140)</f>
        <v>140</v>
      </c>
      <c r="O56" s="18">
        <v>230</v>
      </c>
    </row>
    <row r="57" spans="1:15" ht="15" hidden="1">
      <c r="A57" s="7" t="s">
        <v>35</v>
      </c>
      <c r="D57" s="39">
        <f>IF($C$53=4,"*",0)</f>
        <v>0</v>
      </c>
      <c r="E57" s="7">
        <v>11000</v>
      </c>
      <c r="F57" s="7">
        <v>14500</v>
      </c>
      <c r="G57" s="18">
        <v>308</v>
      </c>
      <c r="H57" s="18">
        <v>230</v>
      </c>
      <c r="J57" s="18">
        <v>135</v>
      </c>
      <c r="K57" s="7"/>
      <c r="L57" s="107">
        <v>265</v>
      </c>
      <c r="M57" s="18">
        <v>150</v>
      </c>
      <c r="N57" s="18">
        <v>150</v>
      </c>
      <c r="O57" s="18">
        <v>250</v>
      </c>
    </row>
    <row r="58" spans="1:15" ht="15" hidden="1">
      <c r="A58" s="7" t="s">
        <v>36</v>
      </c>
      <c r="D58" s="39">
        <f>IF($C$53=5,"*",0)</f>
        <v>0</v>
      </c>
      <c r="E58" s="7">
        <v>10000</v>
      </c>
      <c r="F58" s="7">
        <v>13500</v>
      </c>
      <c r="G58" s="18">
        <v>308</v>
      </c>
      <c r="H58" s="18">
        <v>230</v>
      </c>
      <c r="J58" s="18">
        <v>135</v>
      </c>
      <c r="K58" s="7"/>
      <c r="L58" s="107">
        <v>345</v>
      </c>
      <c r="M58" s="18">
        <v>160</v>
      </c>
      <c r="N58" s="18">
        <v>185</v>
      </c>
      <c r="O58" s="18">
        <v>250</v>
      </c>
    </row>
    <row r="59" spans="1:15" ht="15" hidden="1">
      <c r="A59" s="7" t="s">
        <v>37</v>
      </c>
      <c r="D59" s="39">
        <f>IF($C$53=6,"*",0)</f>
        <v>0</v>
      </c>
      <c r="E59" s="7">
        <v>14000</v>
      </c>
      <c r="F59" s="7">
        <v>16500</v>
      </c>
      <c r="G59" s="18">
        <v>308</v>
      </c>
      <c r="H59" s="18">
        <v>230</v>
      </c>
      <c r="J59" s="18">
        <v>135</v>
      </c>
      <c r="K59" s="7"/>
      <c r="L59" s="107">
        <v>345</v>
      </c>
      <c r="M59" s="18">
        <v>160</v>
      </c>
      <c r="N59" s="18">
        <v>185</v>
      </c>
      <c r="O59" s="18">
        <v>250</v>
      </c>
    </row>
    <row r="60" ht="15" hidden="1">
      <c r="J60" s="111" t="s">
        <v>451</v>
      </c>
    </row>
    <row r="61" ht="15" hidden="1">
      <c r="A61" s="7" t="s">
        <v>41</v>
      </c>
    </row>
    <row r="62" spans="1:3" ht="15" hidden="1">
      <c r="A62" s="7" t="s">
        <v>39</v>
      </c>
      <c r="B62" s="7" t="s">
        <v>38</v>
      </c>
      <c r="C62" s="39">
        <v>1</v>
      </c>
    </row>
    <row r="63" ht="15" hidden="1">
      <c r="A63" s="7" t="s">
        <v>40</v>
      </c>
    </row>
    <row r="64" ht="15" hidden="1">
      <c r="A64" s="7" t="s">
        <v>42</v>
      </c>
    </row>
    <row r="65" spans="1:3" ht="15" hidden="1">
      <c r="A65" s="7" t="s">
        <v>39</v>
      </c>
      <c r="B65" s="7" t="s">
        <v>38</v>
      </c>
      <c r="C65" s="39">
        <v>2</v>
      </c>
    </row>
    <row r="66" ht="15" hidden="1">
      <c r="A66" s="7" t="s">
        <v>40</v>
      </c>
    </row>
    <row r="67" ht="15" hidden="1"/>
    <row r="68" ht="15" hidden="1"/>
    <row r="69" spans="1:3" ht="15" hidden="1">
      <c r="A69" s="7" t="s">
        <v>61</v>
      </c>
      <c r="B69" s="7">
        <v>1</v>
      </c>
      <c r="C69" s="48" t="s">
        <v>323</v>
      </c>
    </row>
    <row r="70" spans="2:3" ht="15" hidden="1">
      <c r="B70" s="7">
        <f>B69+1</f>
        <v>2</v>
      </c>
      <c r="C70" s="48" t="s">
        <v>324</v>
      </c>
    </row>
    <row r="71" spans="2:3" ht="15" hidden="1">
      <c r="B71" s="7">
        <f aca="true" t="shared" si="2" ref="B71:B77">B70+1</f>
        <v>3</v>
      </c>
      <c r="C71" s="48" t="s">
        <v>325</v>
      </c>
    </row>
    <row r="72" spans="2:3" ht="15" hidden="1">
      <c r="B72" s="7">
        <f t="shared" si="2"/>
        <v>4</v>
      </c>
      <c r="C72" s="48" t="s">
        <v>326</v>
      </c>
    </row>
    <row r="73" spans="2:3" ht="15" hidden="1">
      <c r="B73" s="7">
        <f t="shared" si="2"/>
        <v>5</v>
      </c>
      <c r="C73" s="48" t="s">
        <v>327</v>
      </c>
    </row>
    <row r="74" spans="2:3" ht="15" hidden="1">
      <c r="B74" s="7">
        <f t="shared" si="2"/>
        <v>6</v>
      </c>
      <c r="C74" s="48" t="s">
        <v>328</v>
      </c>
    </row>
    <row r="75" spans="2:3" ht="15" hidden="1">
      <c r="B75" s="7">
        <f t="shared" si="2"/>
        <v>7</v>
      </c>
      <c r="C75" s="48" t="s">
        <v>329</v>
      </c>
    </row>
    <row r="76" spans="2:3" ht="15" hidden="1">
      <c r="B76" s="7">
        <f t="shared" si="2"/>
        <v>8</v>
      </c>
      <c r="C76" s="48" t="s">
        <v>330</v>
      </c>
    </row>
    <row r="77" spans="2:3" ht="15" hidden="1">
      <c r="B77" s="7">
        <f t="shared" si="2"/>
        <v>9</v>
      </c>
      <c r="C77" s="48" t="s">
        <v>331</v>
      </c>
    </row>
    <row r="78" ht="15" hidden="1">
      <c r="C78" s="48"/>
    </row>
    <row r="79" ht="15" hidden="1">
      <c r="C79" s="48"/>
    </row>
    <row r="80" ht="15" hidden="1">
      <c r="C80" s="48"/>
    </row>
    <row r="81" ht="15" hidden="1">
      <c r="C81" s="48"/>
    </row>
    <row r="82" ht="15" hidden="1">
      <c r="C82" s="48"/>
    </row>
    <row r="83" ht="15" hidden="1">
      <c r="C83" s="48"/>
    </row>
    <row r="84" ht="15" hidden="1">
      <c r="C84" s="48"/>
    </row>
    <row r="85" ht="15" hidden="1">
      <c r="C85" s="48"/>
    </row>
    <row r="86" ht="15" hidden="1">
      <c r="B86" s="47"/>
    </row>
    <row r="87" spans="2:9" ht="15" hidden="1">
      <c r="B87" s="7" t="s">
        <v>38</v>
      </c>
      <c r="C87" s="39">
        <v>5</v>
      </c>
      <c r="G87" s="7" t="s">
        <v>437</v>
      </c>
      <c r="I87" s="106">
        <f>B6+'Algemeen en dieraantallen'!B16</f>
        <v>30.034337142857144</v>
      </c>
    </row>
    <row r="88" ht="15" hidden="1" thickBot="1"/>
    <row r="89" spans="7:12" ht="18" hidden="1">
      <c r="G89" s="54" t="s">
        <v>16</v>
      </c>
      <c r="H89" s="55"/>
      <c r="I89" s="55"/>
      <c r="J89" s="56"/>
      <c r="K89" s="56"/>
      <c r="L89" s="56"/>
    </row>
    <row r="90" spans="1:12" ht="15" hidden="1">
      <c r="A90" s="8" t="s">
        <v>396</v>
      </c>
      <c r="G90" s="58"/>
      <c r="H90" s="11"/>
      <c r="I90" s="140" t="s">
        <v>17</v>
      </c>
      <c r="J90" s="139"/>
      <c r="K90" s="7"/>
      <c r="L90" s="7"/>
    </row>
    <row r="91" spans="1:12" ht="15" hidden="1">
      <c r="A91" s="7">
        <v>1</v>
      </c>
      <c r="B91" s="7" t="s">
        <v>397</v>
      </c>
      <c r="G91" s="60"/>
      <c r="H91" s="11"/>
      <c r="I91" s="52" t="s">
        <v>248</v>
      </c>
      <c r="J91" s="52" t="s">
        <v>249</v>
      </c>
      <c r="K91" s="7"/>
      <c r="L91" s="7"/>
    </row>
    <row r="92" spans="1:12" ht="15" hidden="1">
      <c r="A92" s="7">
        <v>2</v>
      </c>
      <c r="B92" s="7" t="s">
        <v>398</v>
      </c>
      <c r="G92" s="62" t="s">
        <v>30</v>
      </c>
      <c r="H92" s="11"/>
      <c r="I92" s="46">
        <f>I96+I99+I106+I107+I108+I109+I110+I111+I112+I113+I114+I115</f>
        <v>2341.785185642473</v>
      </c>
      <c r="J92" s="46">
        <f>J96+J99+J106+J107+J108+J109+J110+J111+J112+J113+J114+J115</f>
        <v>2473.856428631565</v>
      </c>
      <c r="K92" s="7"/>
      <c r="L92" s="7"/>
    </row>
    <row r="93" spans="1:12" ht="15" hidden="1">
      <c r="A93" s="8" t="s">
        <v>38</v>
      </c>
      <c r="B93" s="39">
        <v>1</v>
      </c>
      <c r="G93" s="58" t="s">
        <v>31</v>
      </c>
      <c r="H93" s="11"/>
      <c r="I93" s="37">
        <f>I92-I113</f>
        <v>1736.2439889534476</v>
      </c>
      <c r="J93" s="37">
        <f>J92-J113</f>
        <v>1868.3152319425394</v>
      </c>
      <c r="K93" s="7"/>
      <c r="L93" s="7"/>
    </row>
    <row r="94" spans="7:12" ht="15" hidden="1">
      <c r="G94" s="78"/>
      <c r="H94" s="11"/>
      <c r="I94" s="11"/>
      <c r="J94" s="52"/>
      <c r="K94" s="7"/>
      <c r="L94" s="7"/>
    </row>
    <row r="95" spans="7:12" ht="15" hidden="1">
      <c r="G95" s="62" t="s">
        <v>383</v>
      </c>
      <c r="H95" s="11"/>
      <c r="I95" s="11"/>
      <c r="J95" s="52"/>
      <c r="K95" s="7"/>
      <c r="L95" s="7"/>
    </row>
    <row r="96" spans="7:12" ht="15" hidden="1">
      <c r="G96" s="62" t="s">
        <v>18</v>
      </c>
      <c r="H96" s="79"/>
      <c r="I96" s="46">
        <f>I97+I98</f>
        <v>195.99140188951617</v>
      </c>
      <c r="J96" s="46">
        <f>I96*1.06</f>
        <v>207.75088600288714</v>
      </c>
      <c r="K96" s="7"/>
      <c r="L96" s="7"/>
    </row>
    <row r="97" spans="7:12" ht="15" hidden="1">
      <c r="G97" s="61" t="s">
        <v>19</v>
      </c>
      <c r="H97" s="11"/>
      <c r="I97" s="37">
        <f>(Rantsoen!L5+Rantsoen!L15+Rantsoen!L16)/Hoofdpagina!I87</f>
        <v>195.99140188951617</v>
      </c>
      <c r="J97" s="37">
        <f>I97*1.06</f>
        <v>207.75088600288714</v>
      </c>
      <c r="K97" s="7"/>
      <c r="L97" s="7"/>
    </row>
    <row r="98" spans="7:12" ht="15" hidden="1">
      <c r="G98" s="61" t="s">
        <v>20</v>
      </c>
      <c r="H98" s="11"/>
      <c r="I98" s="37">
        <f>Ruwvoer!G11/Hoofdpagina!I87</f>
        <v>0</v>
      </c>
      <c r="J98" s="37">
        <f>I98*1.06</f>
        <v>0</v>
      </c>
      <c r="K98" s="7"/>
      <c r="L98" s="7"/>
    </row>
    <row r="99" spans="7:12" ht="15" hidden="1">
      <c r="G99" s="62" t="s">
        <v>7</v>
      </c>
      <c r="H99" s="79"/>
      <c r="I99" s="46">
        <f>SUM(I100:I105)</f>
        <v>217.00596759632643</v>
      </c>
      <c r="J99" s="46">
        <f>SUM(J100:J105)</f>
        <v>231.08312818159177</v>
      </c>
      <c r="K99" s="7"/>
      <c r="L99" s="7"/>
    </row>
    <row r="100" spans="7:12" ht="15" hidden="1">
      <c r="G100" s="61" t="s">
        <v>21</v>
      </c>
      <c r="H100" s="11"/>
      <c r="I100" s="37">
        <f>Vee!N3/Hoofdpagina!I87</f>
        <v>57.9580628571983</v>
      </c>
      <c r="J100" s="37">
        <f>I100/2*1.06+I100/2*1.19</f>
        <v>65.20282071434809</v>
      </c>
      <c r="K100" s="7"/>
      <c r="L100" s="7"/>
    </row>
    <row r="101" spans="7:12" ht="15" hidden="1">
      <c r="G101" s="61" t="s">
        <v>22</v>
      </c>
      <c r="H101" s="11"/>
      <c r="I101" s="37">
        <f>Vee!N8/Hoofdpagina!I87</f>
        <v>59.60606060606061</v>
      </c>
      <c r="J101" s="37">
        <f>I101*1.06</f>
        <v>63.18242424242425</v>
      </c>
      <c r="K101" s="7"/>
      <c r="L101" s="7"/>
    </row>
    <row r="102" spans="7:12" ht="15" hidden="1">
      <c r="G102" s="61" t="s">
        <v>222</v>
      </c>
      <c r="H102" s="11"/>
      <c r="I102" s="37">
        <f>Vee!N11/Hoofdpagina!I87</f>
        <v>15.341940053755614</v>
      </c>
      <c r="J102" s="37">
        <f>I102*1.06</f>
        <v>16.262456456980953</v>
      </c>
      <c r="K102" s="7"/>
      <c r="L102" s="7"/>
    </row>
    <row r="103" spans="7:12" ht="15" hidden="1">
      <c r="G103" s="61" t="s">
        <v>24</v>
      </c>
      <c r="H103" s="11"/>
      <c r="I103" s="37">
        <f>Vee!N16/Hoofdpagina!I87</f>
        <v>32.607438457582546</v>
      </c>
      <c r="J103" s="37">
        <f>I103*1.06</f>
        <v>34.5638847650375</v>
      </c>
      <c r="K103" s="7"/>
      <c r="L103" s="7"/>
    </row>
    <row r="104" spans="7:12" ht="15" hidden="1">
      <c r="G104" s="61" t="s">
        <v>23</v>
      </c>
      <c r="H104" s="11"/>
      <c r="I104" s="37">
        <f>Vee!N20/Hoofdpagina!I87</f>
        <v>49.497326773983836</v>
      </c>
      <c r="J104" s="37">
        <f>I104</f>
        <v>49.497326773983836</v>
      </c>
      <c r="K104" s="7"/>
      <c r="L104" s="7"/>
    </row>
    <row r="105" spans="7:12" ht="15" hidden="1">
      <c r="G105" s="61" t="s">
        <v>213</v>
      </c>
      <c r="H105" s="11"/>
      <c r="I105" s="37">
        <f>Vee!N26/Hoofdpagina!I87</f>
        <v>1.9951388477455039</v>
      </c>
      <c r="J105" s="37">
        <f>I105*1.19</f>
        <v>2.3742152288171496</v>
      </c>
      <c r="K105" s="7"/>
      <c r="L105" s="7"/>
    </row>
    <row r="106" spans="7:12" ht="15" hidden="1">
      <c r="G106" s="58" t="s">
        <v>25</v>
      </c>
      <c r="H106" s="11"/>
      <c r="I106" s="37">
        <f>(Ruwvoer!B22+Ruwvoer!K22)/Hoofdpagina!I87</f>
        <v>199.82143747891027</v>
      </c>
      <c r="J106" s="37">
        <f>I106*1.06</f>
        <v>211.8107237276449</v>
      </c>
      <c r="K106" s="7"/>
      <c r="L106" s="7"/>
    </row>
    <row r="107" spans="7:12" ht="15" hidden="1">
      <c r="G107" s="58" t="s">
        <v>26</v>
      </c>
      <c r="H107" s="11"/>
      <c r="I107" s="37">
        <f>(Ruwvoer!B34+Ruwvoer!K34)/Hoofdpagina!I87</f>
        <v>327.40194844023523</v>
      </c>
      <c r="J107" s="37">
        <f>I107*1.06</f>
        <v>347.04606534664936</v>
      </c>
      <c r="K107" s="7"/>
      <c r="L107" s="7"/>
    </row>
    <row r="108" spans="7:12" ht="15" hidden="1">
      <c r="G108" s="58" t="s">
        <v>27</v>
      </c>
      <c r="H108" s="11"/>
      <c r="I108" s="37">
        <f>'Arbeid+installaties'!L11/Hoofdpagina!I87</f>
        <v>0</v>
      </c>
      <c r="J108" s="37">
        <f>I108*1.19</f>
        <v>0</v>
      </c>
      <c r="K108" s="7"/>
      <c r="L108" s="7"/>
    </row>
    <row r="109" spans="7:12" ht="15" hidden="1">
      <c r="G109" s="58" t="s">
        <v>10</v>
      </c>
      <c r="H109" s="11"/>
      <c r="I109" s="37">
        <f>'Grond en gebouwen'!L17/Hoofdpagina!I87</f>
        <v>373.46934765522656</v>
      </c>
      <c r="J109" s="37">
        <f>I109*1.19</f>
        <v>444.42852370971957</v>
      </c>
      <c r="K109" s="7"/>
      <c r="L109" s="7"/>
    </row>
    <row r="110" spans="7:12" ht="15" hidden="1">
      <c r="G110" s="58" t="s">
        <v>28</v>
      </c>
      <c r="H110" s="11"/>
      <c r="I110" s="37">
        <f>'Grond en gebouwen'!L5/Hoofdpagina!I87</f>
        <v>370.43932429914025</v>
      </c>
      <c r="J110" s="37">
        <f>I110</f>
        <v>370.43932429914025</v>
      </c>
      <c r="K110" s="7"/>
      <c r="L110" s="7"/>
    </row>
    <row r="111" spans="7:12" ht="15" hidden="1">
      <c r="G111" s="58" t="s">
        <v>316</v>
      </c>
      <c r="H111" s="11"/>
      <c r="I111" s="37">
        <f>('Water en energie'!M9+'Water en energie'!M22)/Hoofdpagina!I87</f>
        <v>23.83037486610211</v>
      </c>
      <c r="J111" s="37">
        <f>('Water en energie'!M9*1.06+'Water en energie'!M22*1.19)/Hoofdpagina!B6</f>
        <v>25.77534274323636</v>
      </c>
      <c r="K111" s="7"/>
      <c r="L111" s="7"/>
    </row>
    <row r="112" spans="7:10" ht="15" hidden="1">
      <c r="G112" s="58" t="s">
        <v>29</v>
      </c>
      <c r="H112" s="11"/>
      <c r="I112" s="37">
        <f>Mest!N20/Hoofdpagina!I87</f>
        <v>0</v>
      </c>
      <c r="J112" s="37">
        <f>I112*1.06</f>
        <v>0</v>
      </c>
    </row>
    <row r="113" spans="7:10" ht="15" hidden="1">
      <c r="G113" s="58" t="s">
        <v>14</v>
      </c>
      <c r="H113" s="11"/>
      <c r="I113" s="37">
        <f>'Arbeid+installaties'!L31/Hoofdpagina!I87</f>
        <v>605.5411966890255</v>
      </c>
      <c r="J113" s="37">
        <f>I113</f>
        <v>605.5411966890255</v>
      </c>
    </row>
    <row r="114" spans="7:10" ht="15" hidden="1">
      <c r="G114" s="58" t="s">
        <v>335</v>
      </c>
      <c r="H114" s="11"/>
      <c r="I114" s="23">
        <f>'Algemeen en dieraantallen'!J10/Hoofdpagina!I87</f>
        <v>28.28418672799076</v>
      </c>
      <c r="J114" s="37">
        <f>I114*1.06</f>
        <v>29.981237931670208</v>
      </c>
    </row>
    <row r="115" spans="7:10" ht="15" hidden="1">
      <c r="G115" s="11" t="s">
        <v>456</v>
      </c>
      <c r="H115" s="11"/>
      <c r="I115" s="23">
        <f>Mest!N41/Hoofdpagina!I87</f>
        <v>0</v>
      </c>
      <c r="J115" s="37">
        <f>I115</f>
        <v>0</v>
      </c>
    </row>
    <row r="116" ht="15" hidden="1"/>
    <row r="117" spans="7:10" ht="15" hidden="1">
      <c r="G117" s="7" t="s">
        <v>384</v>
      </c>
      <c r="I117" s="89">
        <f>('Algemeen en dieraantallen'!B8+'Algemeen en dieraantallen'!B9)*'Algemeen en dieraantallen'!B18</f>
        <v>945.7236</v>
      </c>
      <c r="J117" s="94">
        <f>I117*1.06</f>
        <v>1002.4670160000001</v>
      </c>
    </row>
    <row r="118" spans="7:10" ht="15" hidden="1">
      <c r="G118" s="7" t="s">
        <v>411</v>
      </c>
      <c r="I118" s="89">
        <f>'Algemeen en dieraantallen'!J14</f>
        <v>0</v>
      </c>
      <c r="J118" s="94">
        <f>I118*1.06</f>
        <v>0</v>
      </c>
    </row>
    <row r="119" spans="7:10" ht="15" hidden="1">
      <c r="G119" s="7" t="s">
        <v>412</v>
      </c>
      <c r="I119" s="89">
        <f>'Algemeen en dieraantallen'!J12</f>
        <v>0</v>
      </c>
      <c r="J119" s="94">
        <f>I119*1.06</f>
        <v>0</v>
      </c>
    </row>
  </sheetData>
  <sheetProtection sheet="1"/>
  <mergeCells count="4">
    <mergeCell ref="C38:D38"/>
    <mergeCell ref="E1:F1"/>
    <mergeCell ref="I90:J90"/>
    <mergeCell ref="C37:D37"/>
  </mergeCells>
  <hyperlinks>
    <hyperlink ref="A3" location="'Algemeen en dieraantallen'!A1" display="Algemeen en dieraantallen"/>
    <hyperlink ref="A14" location="Rantsoen!A1" display="Rantsoen"/>
    <hyperlink ref="A25" location="Ruwvoer!A1" display="Teelt, oogst en aankoop ruwvoer"/>
    <hyperlink ref="A31" location="Vee!A1" display="Veekosten"/>
    <hyperlink ref="A36" location="'Grond en gebouwen'!A1" display="Grond en gebouwen"/>
    <hyperlink ref="A41" location="Mest!A1" display="Mestproductie en mestafvoer"/>
    <hyperlink ref="A44" location="'Arbeid+installaties'!A1" display="Arbeid en installaties"/>
    <hyperlink ref="A47" location="'Water en energie'!A1" display="Water en energi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4"/>
  <headerFooter>
    <oddHeader>&amp;C&amp;A</oddHeader>
  </headerFooter>
  <ignoredErrors>
    <ignoredError sqref="I15" formula="1"/>
  </ignoredError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showGridLines="0" zoomScalePageLayoutView="0" workbookViewId="0" topLeftCell="A1">
      <selection activeCell="B5" sqref="B5"/>
    </sheetView>
  </sheetViews>
  <sheetFormatPr defaultColWidth="9.140625" defaultRowHeight="15"/>
  <cols>
    <col min="1" max="1" width="54.8515625" style="7" customWidth="1"/>
    <col min="2" max="2" width="9.140625" style="7" customWidth="1"/>
    <col min="3" max="3" width="13.7109375" style="7" customWidth="1"/>
    <col min="4" max="16384" width="9.140625" style="7" customWidth="1"/>
  </cols>
  <sheetData>
    <row r="1" ht="15">
      <c r="A1" s="9" t="s">
        <v>63</v>
      </c>
    </row>
    <row r="2" spans="2:3" ht="17.25" customHeight="1">
      <c r="B2" s="8" t="s">
        <v>0</v>
      </c>
      <c r="C2" s="17" t="s">
        <v>333</v>
      </c>
    </row>
    <row r="3" spans="1:4" ht="15">
      <c r="A3" s="7" t="s">
        <v>54</v>
      </c>
      <c r="B3" s="3">
        <f>Hoofdpagina!B6</f>
        <v>30</v>
      </c>
      <c r="C3" s="11"/>
      <c r="D3" s="7" t="s">
        <v>44</v>
      </c>
    </row>
    <row r="4" spans="1:4" ht="15">
      <c r="A4" s="7" t="s">
        <v>61</v>
      </c>
      <c r="B4" s="3">
        <f>Hoofdpagina!C87+21</f>
        <v>26</v>
      </c>
      <c r="C4" s="11"/>
      <c r="D4" s="7" t="s">
        <v>332</v>
      </c>
    </row>
    <row r="5" spans="1:4" ht="15">
      <c r="A5" s="7" t="s">
        <v>80</v>
      </c>
      <c r="B5" s="38">
        <f>C5</f>
        <v>67</v>
      </c>
      <c r="C5" s="3">
        <v>67</v>
      </c>
      <c r="D5" s="7" t="s">
        <v>53</v>
      </c>
    </row>
    <row r="6" spans="1:4" ht="15">
      <c r="A6" s="7" t="s">
        <v>353</v>
      </c>
      <c r="B6" s="41">
        <v>2</v>
      </c>
      <c r="C6" s="3">
        <v>2</v>
      </c>
      <c r="D6" s="7" t="s">
        <v>6</v>
      </c>
    </row>
    <row r="7" spans="1:4" ht="15" thickBot="1">
      <c r="A7" s="7" t="s">
        <v>62</v>
      </c>
      <c r="B7" s="38">
        <v>2</v>
      </c>
      <c r="C7" s="3">
        <v>2</v>
      </c>
      <c r="D7" s="7" t="s">
        <v>6</v>
      </c>
    </row>
    <row r="8" spans="1:4" ht="15">
      <c r="A8" s="7" t="s">
        <v>66</v>
      </c>
      <c r="B8" s="75">
        <f>(Hoofdpagina!B8/'Algemeen en dieraantallen'!B4)*12*((100+0.5*B6)/100)</f>
        <v>30.906</v>
      </c>
      <c r="D8" s="7" t="s">
        <v>44</v>
      </c>
    </row>
    <row r="9" spans="1:4" ht="15" thickBot="1">
      <c r="A9" s="7" t="s">
        <v>354</v>
      </c>
      <c r="B9" s="22">
        <f>B8*((B6)/100)</f>
        <v>0.61812</v>
      </c>
      <c r="D9" s="7" t="s">
        <v>44</v>
      </c>
    </row>
    <row r="10" spans="1:11" ht="15" thickBot="1">
      <c r="A10" s="7" t="s">
        <v>352</v>
      </c>
      <c r="B10" s="72">
        <f>C10</f>
        <v>315</v>
      </c>
      <c r="C10" s="115">
        <v>315</v>
      </c>
      <c r="D10" s="7" t="s">
        <v>47</v>
      </c>
      <c r="I10" s="8" t="s">
        <v>336</v>
      </c>
      <c r="J10" s="28">
        <f>B9*B10+B12*B13</f>
        <v>849.4968</v>
      </c>
      <c r="K10" s="7" t="s">
        <v>52</v>
      </c>
    </row>
    <row r="11" spans="1:4" ht="15" thickBot="1">
      <c r="A11" s="7" t="s">
        <v>65</v>
      </c>
      <c r="B11" s="73">
        <f>Hoofdpagina!B8-'Algemeen en dieraantallen'!B8</f>
        <v>35.394</v>
      </c>
      <c r="C11" s="21"/>
      <c r="D11" s="7" t="s">
        <v>44</v>
      </c>
    </row>
    <row r="12" spans="1:11" ht="15" thickBot="1">
      <c r="A12" s="7" t="s">
        <v>355</v>
      </c>
      <c r="B12" s="76">
        <f>B11*((B7)/100)</f>
        <v>0.70788</v>
      </c>
      <c r="C12" s="21"/>
      <c r="D12" s="7" t="s">
        <v>44</v>
      </c>
      <c r="I12" s="8" t="s">
        <v>321</v>
      </c>
      <c r="J12" s="28">
        <f>IF(B16&gt;0.05,B16*B17,0)</f>
        <v>0</v>
      </c>
      <c r="K12" s="7" t="s">
        <v>52</v>
      </c>
    </row>
    <row r="13" spans="1:4" ht="15" thickBot="1">
      <c r="A13" s="7" t="s">
        <v>356</v>
      </c>
      <c r="B13" s="38">
        <f>C13</f>
        <v>925</v>
      </c>
      <c r="C13" s="115">
        <v>925</v>
      </c>
      <c r="D13" s="7" t="s">
        <v>47</v>
      </c>
    </row>
    <row r="14" spans="1:11" ht="15" thickBot="1">
      <c r="A14" s="7" t="s">
        <v>357</v>
      </c>
      <c r="B14" s="16">
        <f>B3</f>
        <v>30</v>
      </c>
      <c r="C14" s="21"/>
      <c r="D14" s="7" t="s">
        <v>44</v>
      </c>
      <c r="I14" s="8" t="s">
        <v>360</v>
      </c>
      <c r="J14" s="28">
        <f>IF(B16&lt;-0.05,B16*B17*-1,0)</f>
        <v>0</v>
      </c>
      <c r="K14" s="7" t="s">
        <v>52</v>
      </c>
    </row>
    <row r="15" spans="1:4" ht="15">
      <c r="A15" s="7" t="s">
        <v>358</v>
      </c>
      <c r="B15" s="16">
        <f>(B11*(12/(B4-12)))*(100-B7/2)/100</f>
        <v>30.034337142857144</v>
      </c>
      <c r="C15" s="21"/>
      <c r="D15" s="7" t="s">
        <v>44</v>
      </c>
    </row>
    <row r="16" spans="1:11" ht="15">
      <c r="A16" s="7" t="s">
        <v>361</v>
      </c>
      <c r="B16" s="16">
        <f>B15-B14</f>
        <v>0.03433714285714373</v>
      </c>
      <c r="C16" s="21"/>
      <c r="D16" s="7" t="s">
        <v>44</v>
      </c>
      <c r="E16" s="36"/>
      <c r="F16" s="11"/>
      <c r="G16" s="11"/>
      <c r="H16" s="11"/>
      <c r="I16" s="52"/>
      <c r="J16" s="97"/>
      <c r="K16" s="11"/>
    </row>
    <row r="17" spans="1:4" ht="15">
      <c r="A17" s="7" t="s">
        <v>359</v>
      </c>
      <c r="B17" s="38">
        <f>C17</f>
        <v>1250</v>
      </c>
      <c r="C17" s="2">
        <v>1250</v>
      </c>
      <c r="D17" s="7" t="s">
        <v>47</v>
      </c>
    </row>
    <row r="18" spans="1:4" ht="15">
      <c r="A18" s="7" t="s">
        <v>406</v>
      </c>
      <c r="B18" s="38">
        <f>C18</f>
        <v>30</v>
      </c>
      <c r="C18" s="115">
        <v>30</v>
      </c>
      <c r="D18" s="7" t="s">
        <v>47</v>
      </c>
    </row>
    <row r="20" spans="1:3" ht="15">
      <c r="A20" s="18" t="s">
        <v>64</v>
      </c>
      <c r="C20" s="71"/>
    </row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6" r:id="rId2"/>
  <headerFooter>
    <oddHeader>&amp;C&amp;A</oddHeader>
  </headerFooter>
  <ignoredErrors>
    <ignoredError sqref="B5" unlockedFormula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35.421875" style="7" customWidth="1"/>
    <col min="2" max="2" width="9.140625" style="7" customWidth="1"/>
    <col min="3" max="3" width="9.7109375" style="7" customWidth="1"/>
    <col min="4" max="4" width="3.8515625" style="11" customWidth="1"/>
    <col min="5" max="6" width="9.140625" style="7" customWidth="1"/>
    <col min="7" max="7" width="12.8515625" style="7" customWidth="1"/>
    <col min="8" max="10" width="9.140625" style="7" customWidth="1"/>
    <col min="11" max="11" width="17.00390625" style="7" customWidth="1"/>
    <col min="12" max="16384" width="9.140625" style="7" customWidth="1"/>
  </cols>
  <sheetData>
    <row r="1" spans="1:4" ht="15">
      <c r="A1" s="9" t="s">
        <v>79</v>
      </c>
      <c r="B1" s="8" t="s">
        <v>84</v>
      </c>
      <c r="C1" s="8" t="s">
        <v>75</v>
      </c>
      <c r="D1" s="52"/>
    </row>
    <row r="2" spans="1:7" ht="15">
      <c r="A2" s="7" t="s">
        <v>80</v>
      </c>
      <c r="B2" s="3">
        <f>'Algemeen en dieraantallen'!B5</f>
        <v>67</v>
      </c>
      <c r="G2" s="7" t="s">
        <v>53</v>
      </c>
    </row>
    <row r="3" spans="1:7" ht="15">
      <c r="A3" s="7" t="s">
        <v>81</v>
      </c>
      <c r="B3" s="38">
        <f>C3</f>
        <v>0.55</v>
      </c>
      <c r="C3" s="3">
        <v>0.55</v>
      </c>
      <c r="G3" s="7" t="s">
        <v>86</v>
      </c>
    </row>
    <row r="4" spans="1:12" ht="15" thickBot="1">
      <c r="A4" s="7" t="s">
        <v>82</v>
      </c>
      <c r="B4" s="16">
        <f>'Algemeen en dieraantallen'!B8</f>
        <v>30.906</v>
      </c>
      <c r="G4" s="7" t="s">
        <v>44</v>
      </c>
      <c r="I4" s="8" t="s">
        <v>76</v>
      </c>
      <c r="J4" s="8" t="s">
        <v>75</v>
      </c>
      <c r="L4" s="8" t="s">
        <v>88</v>
      </c>
    </row>
    <row r="5" spans="1:13" ht="15" thickBot="1">
      <c r="A5" s="7" t="s">
        <v>83</v>
      </c>
      <c r="B5" s="23">
        <f>IF(B2&gt;7,(B2-7)*B3*B4,0)</f>
        <v>1019.8979999999999</v>
      </c>
      <c r="G5" s="7" t="s">
        <v>85</v>
      </c>
      <c r="I5" s="38">
        <f>J5</f>
        <v>2</v>
      </c>
      <c r="J5" s="115">
        <v>2</v>
      </c>
      <c r="K5" s="7" t="s">
        <v>87</v>
      </c>
      <c r="L5" s="28">
        <f>B5*I5</f>
        <v>2039.7959999999998</v>
      </c>
      <c r="M5" s="7" t="s">
        <v>131</v>
      </c>
    </row>
    <row r="6" ht="15">
      <c r="J6" s="21"/>
    </row>
    <row r="7" spans="1:10" ht="15">
      <c r="A7" s="9" t="s">
        <v>89</v>
      </c>
      <c r="B7" s="81" t="s">
        <v>90</v>
      </c>
      <c r="C7" s="81" t="s">
        <v>75</v>
      </c>
      <c r="D7" s="83"/>
      <c r="E7" s="82" t="s">
        <v>92</v>
      </c>
      <c r="F7" s="82" t="s">
        <v>75</v>
      </c>
      <c r="J7" s="21"/>
    </row>
    <row r="8" spans="1:10" ht="15">
      <c r="A8" s="7" t="s">
        <v>91</v>
      </c>
      <c r="B8" s="16">
        <f>'Algemeen en dieraantallen'!B8</f>
        <v>30.906</v>
      </c>
      <c r="E8" s="16">
        <f>'Algemeen en dieraantallen'!B11</f>
        <v>35.394</v>
      </c>
      <c r="G8" s="7" t="s">
        <v>44</v>
      </c>
      <c r="J8" s="21"/>
    </row>
    <row r="9" spans="1:10" ht="15">
      <c r="A9" s="7" t="s">
        <v>93</v>
      </c>
      <c r="B9" s="3">
        <f>365-Hoofdpagina!B15</f>
        <v>275</v>
      </c>
      <c r="E9" s="23">
        <f>'Algemeen en dieraantallen'!B4*30.4167-365-Hoofdpagina!B16</f>
        <v>245.8342</v>
      </c>
      <c r="G9" s="7" t="s">
        <v>53</v>
      </c>
      <c r="J9" s="21"/>
    </row>
    <row r="10" spans="1:10" ht="15">
      <c r="A10" s="7" t="s">
        <v>94</v>
      </c>
      <c r="B10" s="45">
        <f>Hoofdpagina!B19</f>
        <v>1.02</v>
      </c>
      <c r="C10" s="11"/>
      <c r="E10" s="45">
        <f>Hoofdpagina!B20</f>
        <v>0.93</v>
      </c>
      <c r="F10" s="11"/>
      <c r="G10" s="7" t="s">
        <v>125</v>
      </c>
      <c r="J10" s="21"/>
    </row>
    <row r="11" spans="1:10" ht="15">
      <c r="A11" s="7" t="s">
        <v>127</v>
      </c>
      <c r="B11" s="38">
        <f>C11</f>
        <v>0</v>
      </c>
      <c r="C11" s="11"/>
      <c r="E11" s="38">
        <f>F11</f>
        <v>0</v>
      </c>
      <c r="F11" s="11"/>
      <c r="G11" s="7" t="s">
        <v>103</v>
      </c>
      <c r="J11" s="21"/>
    </row>
    <row r="12" spans="1:10" ht="15">
      <c r="A12" s="7" t="s">
        <v>95</v>
      </c>
      <c r="B12" s="3">
        <f>Hoofdpagina!B15</f>
        <v>90</v>
      </c>
      <c r="C12" s="11"/>
      <c r="E12" s="3">
        <f>Hoofdpagina!B16</f>
        <v>180</v>
      </c>
      <c r="F12" s="11"/>
      <c r="G12" s="7" t="s">
        <v>53</v>
      </c>
      <c r="J12" s="21"/>
    </row>
    <row r="13" spans="1:10" ht="15">
      <c r="A13" s="7" t="s">
        <v>96</v>
      </c>
      <c r="B13" s="45">
        <f>Hoofdpagina!B21</f>
        <v>0</v>
      </c>
      <c r="C13" s="11"/>
      <c r="E13" s="45">
        <f>Hoofdpagina!B22</f>
        <v>0</v>
      </c>
      <c r="F13" s="11"/>
      <c r="G13" s="7" t="s">
        <v>125</v>
      </c>
      <c r="J13" s="21"/>
    </row>
    <row r="14" spans="1:12" ht="15" thickBot="1">
      <c r="A14" s="7" t="s">
        <v>97</v>
      </c>
      <c r="B14" s="84">
        <f>C14</f>
        <v>2</v>
      </c>
      <c r="C14" s="3">
        <v>2</v>
      </c>
      <c r="E14" s="38">
        <f>F14</f>
        <v>2</v>
      </c>
      <c r="F14" s="26">
        <v>2</v>
      </c>
      <c r="G14" s="7" t="s">
        <v>6</v>
      </c>
      <c r="I14" s="8" t="s">
        <v>76</v>
      </c>
      <c r="J14" s="122" t="s">
        <v>75</v>
      </c>
      <c r="K14" s="8"/>
      <c r="L14" s="8" t="s">
        <v>88</v>
      </c>
    </row>
    <row r="15" spans="1:13" ht="15" thickBot="1">
      <c r="A15" s="7" t="s">
        <v>121</v>
      </c>
      <c r="B15" s="23">
        <f>(B8*B9*B10+B8*B12*B13)*(100+B14)/100</f>
        <v>8842.51566</v>
      </c>
      <c r="E15" s="23">
        <f>(E8*E9*E10+E8*E12*E13)*(100+E14)/100</f>
        <v>8253.82141311528</v>
      </c>
      <c r="G15" s="7" t="s">
        <v>85</v>
      </c>
      <c r="I15" s="38">
        <f>J15</f>
        <v>22.5</v>
      </c>
      <c r="J15" s="115">
        <v>22.5</v>
      </c>
      <c r="K15" s="7" t="s">
        <v>98</v>
      </c>
      <c r="L15" s="29">
        <f>(B15+E15)/100*I15</f>
        <v>3846.6758414509377</v>
      </c>
      <c r="M15" s="7" t="s">
        <v>129</v>
      </c>
    </row>
    <row r="16" spans="1:13" ht="15" thickBot="1">
      <c r="A16" s="7" t="s">
        <v>126</v>
      </c>
      <c r="B16" s="23">
        <f>(B8*B9*B11)*(100+B14)/100</f>
        <v>0</v>
      </c>
      <c r="E16" s="23">
        <f>(E8*E9*E11)*(100+E14)/100</f>
        <v>0</v>
      </c>
      <c r="G16" s="7" t="s">
        <v>103</v>
      </c>
      <c r="I16" s="38">
        <f>J16</f>
        <v>17</v>
      </c>
      <c r="J16" s="115">
        <v>17</v>
      </c>
      <c r="K16" s="7" t="s">
        <v>128</v>
      </c>
      <c r="L16" s="28">
        <f>(B16+E16)/100*I16</f>
        <v>0</v>
      </c>
      <c r="M16" s="7" t="s">
        <v>130</v>
      </c>
    </row>
    <row r="18" spans="1:6" ht="15">
      <c r="A18" s="10" t="s">
        <v>55</v>
      </c>
      <c r="B18" s="81" t="s">
        <v>90</v>
      </c>
      <c r="C18" s="81" t="s">
        <v>75</v>
      </c>
      <c r="D18" s="83"/>
      <c r="E18" s="82" t="s">
        <v>92</v>
      </c>
      <c r="F18" s="82" t="s">
        <v>75</v>
      </c>
    </row>
    <row r="19" spans="1:7" ht="15">
      <c r="A19" s="7" t="s">
        <v>99</v>
      </c>
      <c r="B19" s="80">
        <f>C19</f>
        <v>2.9</v>
      </c>
      <c r="C19" s="3">
        <v>2.9</v>
      </c>
      <c r="E19" s="38">
        <f>F19</f>
        <v>8.8</v>
      </c>
      <c r="F19" s="26">
        <v>8.8</v>
      </c>
      <c r="G19" s="7" t="s">
        <v>103</v>
      </c>
    </row>
    <row r="20" spans="1:7" ht="15">
      <c r="A20" s="7" t="s">
        <v>101</v>
      </c>
      <c r="B20" s="80">
        <f>C20</f>
        <v>90</v>
      </c>
      <c r="C20" s="3">
        <f>100-Hoofdpagina!B17</f>
        <v>90</v>
      </c>
      <c r="E20" s="38">
        <f>F20</f>
        <v>90</v>
      </c>
      <c r="F20" s="26">
        <f>100-Hoofdpagina!B18</f>
        <v>90</v>
      </c>
      <c r="G20" s="7" t="s">
        <v>6</v>
      </c>
    </row>
    <row r="21" spans="1:7" ht="15">
      <c r="A21" s="7" t="s">
        <v>102</v>
      </c>
      <c r="B21" s="3">
        <f>Hoofdpagina!B17</f>
        <v>10</v>
      </c>
      <c r="C21" s="11"/>
      <c r="E21" s="3">
        <f>Hoofdpagina!B18</f>
        <v>10</v>
      </c>
      <c r="F21" s="11"/>
      <c r="G21" s="7" t="s">
        <v>6</v>
      </c>
    </row>
    <row r="22" spans="1:7" ht="15">
      <c r="A22" s="7" t="s">
        <v>117</v>
      </c>
      <c r="B22" s="3">
        <f>100-B20-B21</f>
        <v>0</v>
      </c>
      <c r="C22" s="11"/>
      <c r="E22" s="3">
        <f>100-E20-E21</f>
        <v>0</v>
      </c>
      <c r="F22" s="11"/>
      <c r="G22" s="7" t="s">
        <v>6</v>
      </c>
    </row>
    <row r="23" spans="1:9" ht="15">
      <c r="A23" s="7" t="s">
        <v>104</v>
      </c>
      <c r="B23" s="23">
        <f>B8*B9*B19*(B20/100)</f>
        <v>22182.7815</v>
      </c>
      <c r="E23" s="23">
        <f>E8*E9*E19*(E20/100)</f>
        <v>68912.36094441601</v>
      </c>
      <c r="G23" s="7" t="s">
        <v>122</v>
      </c>
      <c r="I23" s="11"/>
    </row>
    <row r="24" spans="1:7" ht="15">
      <c r="A24" s="7" t="s">
        <v>105</v>
      </c>
      <c r="B24" s="23">
        <f>B8*B9*B19*(B21/100)</f>
        <v>2464.7535000000003</v>
      </c>
      <c r="E24" s="23">
        <f>E8*E9*E19*(E21/100)</f>
        <v>7656.928993824001</v>
      </c>
      <c r="G24" s="7" t="s">
        <v>123</v>
      </c>
    </row>
    <row r="25" spans="1:7" ht="15">
      <c r="A25" s="7" t="s">
        <v>106</v>
      </c>
      <c r="B25" s="24">
        <f>B8*B9*B19*(B22/100)</f>
        <v>0</v>
      </c>
      <c r="E25" s="3">
        <f>E8*E9*E19*(E22/100)</f>
        <v>0</v>
      </c>
      <c r="G25" s="7" t="s">
        <v>124</v>
      </c>
    </row>
    <row r="26" spans="1:7" ht="15">
      <c r="A26" s="7" t="s">
        <v>111</v>
      </c>
      <c r="B26" s="80">
        <f>C26</f>
        <v>5</v>
      </c>
      <c r="C26" s="3">
        <v>5</v>
      </c>
      <c r="E26" s="38">
        <f>F26</f>
        <v>5</v>
      </c>
      <c r="F26" s="26">
        <v>5</v>
      </c>
      <c r="G26" s="7" t="s">
        <v>6</v>
      </c>
    </row>
    <row r="27" spans="1:7" ht="15">
      <c r="A27" s="7" t="s">
        <v>112</v>
      </c>
      <c r="B27" s="80">
        <f>C27</f>
        <v>3</v>
      </c>
      <c r="C27" s="3">
        <v>3</v>
      </c>
      <c r="E27" s="38">
        <f>F27</f>
        <v>3</v>
      </c>
      <c r="F27" s="26">
        <v>3</v>
      </c>
      <c r="G27" s="7" t="s">
        <v>6</v>
      </c>
    </row>
    <row r="28" spans="1:7" ht="15" thickBot="1">
      <c r="A28" s="7" t="s">
        <v>113</v>
      </c>
      <c r="B28" s="80">
        <f>C28</f>
        <v>6</v>
      </c>
      <c r="C28" s="3">
        <v>6</v>
      </c>
      <c r="E28" s="38">
        <f>F28</f>
        <v>6</v>
      </c>
      <c r="F28" s="26">
        <v>6</v>
      </c>
      <c r="G28" s="7" t="s">
        <v>6</v>
      </c>
    </row>
    <row r="29" spans="1:13" ht="15" thickBot="1">
      <c r="A29" s="7" t="s">
        <v>114</v>
      </c>
      <c r="B29" s="23">
        <f>B23/((100-B26)/100)/((100-B27)/100)/((100-B28)/100)</f>
        <v>25609.011094307392</v>
      </c>
      <c r="E29" s="23">
        <f>E23/((100-E26)/100)/((100-E27)/100)/((100-E28)/100)</f>
        <v>79556.18261670497</v>
      </c>
      <c r="G29" s="7" t="s">
        <v>71</v>
      </c>
      <c r="I29" s="7" t="s">
        <v>118</v>
      </c>
      <c r="L29" s="28">
        <f>B29+E29</f>
        <v>105165.19371101237</v>
      </c>
      <c r="M29" s="7" t="s">
        <v>71</v>
      </c>
    </row>
    <row r="30" spans="1:13" ht="15" thickBot="1">
      <c r="A30" s="7" t="s">
        <v>115</v>
      </c>
      <c r="B30" s="23">
        <f>B24/((100-B26)/100)/((100-B27)/100)/((100-B28)/100)</f>
        <v>2845.4456771452656</v>
      </c>
      <c r="E30" s="23">
        <f>E24/((100-E26)/100)/((100-E27)/100)/((100-E28)/100)</f>
        <v>8839.575846300551</v>
      </c>
      <c r="G30" s="7" t="s">
        <v>71</v>
      </c>
      <c r="I30" s="7" t="s">
        <v>119</v>
      </c>
      <c r="L30" s="28">
        <f>B30+E30</f>
        <v>11685.021523445817</v>
      </c>
      <c r="M30" s="7" t="s">
        <v>71</v>
      </c>
    </row>
    <row r="31" spans="1:13" ht="15" thickBot="1">
      <c r="A31" s="7" t="s">
        <v>116</v>
      </c>
      <c r="B31" s="23">
        <f>B25/((100-B26)/100)</f>
        <v>0</v>
      </c>
      <c r="E31" s="23">
        <f>E25/((100-E26)/100)</f>
        <v>0</v>
      </c>
      <c r="G31" s="7" t="s">
        <v>71</v>
      </c>
      <c r="I31" s="7" t="s">
        <v>120</v>
      </c>
      <c r="L31" s="28">
        <f>B31+E31</f>
        <v>0</v>
      </c>
      <c r="M31" s="7" t="s">
        <v>71</v>
      </c>
    </row>
    <row r="33" spans="1:7" ht="15">
      <c r="A33" s="7" t="s">
        <v>100</v>
      </c>
      <c r="B33" s="80">
        <f>C33</f>
        <v>2.5</v>
      </c>
      <c r="C33" s="3">
        <v>2.5</v>
      </c>
      <c r="E33" s="38">
        <f>F33</f>
        <v>9.1</v>
      </c>
      <c r="F33" s="26">
        <v>9.1</v>
      </c>
      <c r="G33" s="7" t="s">
        <v>103</v>
      </c>
    </row>
    <row r="34" spans="1:7" ht="15">
      <c r="A34" s="7" t="s">
        <v>107</v>
      </c>
      <c r="B34" s="23">
        <f>B8*B12*B33</f>
        <v>6953.85</v>
      </c>
      <c r="E34" s="23">
        <f>E8*E12*E33</f>
        <v>57975.371999999996</v>
      </c>
      <c r="G34" s="7" t="s">
        <v>71</v>
      </c>
    </row>
    <row r="35" spans="1:7" ht="15" thickBot="1">
      <c r="A35" s="7" t="s">
        <v>108</v>
      </c>
      <c r="B35" s="80">
        <f>C35</f>
        <v>80</v>
      </c>
      <c r="C35" s="3">
        <v>80</v>
      </c>
      <c r="E35" s="38">
        <f>F35</f>
        <v>80</v>
      </c>
      <c r="F35" s="26">
        <v>80</v>
      </c>
      <c r="G35" s="7" t="s">
        <v>6</v>
      </c>
    </row>
    <row r="36" spans="1:13" ht="15" thickBot="1">
      <c r="A36" s="7" t="s">
        <v>109</v>
      </c>
      <c r="B36" s="23">
        <f>B34/(B35/100)</f>
        <v>8692.3125</v>
      </c>
      <c r="E36" s="23">
        <f>E34/(E35/100)</f>
        <v>72469.215</v>
      </c>
      <c r="G36" s="7" t="s">
        <v>71</v>
      </c>
      <c r="I36" s="7" t="s">
        <v>110</v>
      </c>
      <c r="L36" s="28">
        <f>B36+E36</f>
        <v>81161.5275</v>
      </c>
      <c r="M36" s="7" t="s">
        <v>71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2"/>
  <headerFooter>
    <oddHeader>&amp;C&amp;A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zoomScalePageLayoutView="0" workbookViewId="0" topLeftCell="A10">
      <selection activeCell="D10" sqref="D10"/>
    </sheetView>
  </sheetViews>
  <sheetFormatPr defaultColWidth="9.140625" defaultRowHeight="15"/>
  <cols>
    <col min="1" max="1" width="30.421875" style="7" customWidth="1"/>
    <col min="2" max="2" width="10.7109375" style="7" customWidth="1"/>
    <col min="3" max="3" width="9.8515625" style="7" customWidth="1"/>
    <col min="4" max="4" width="12.7109375" style="7" customWidth="1"/>
    <col min="5" max="5" width="9.140625" style="7" customWidth="1"/>
    <col min="6" max="6" width="14.8515625" style="7" customWidth="1"/>
    <col min="7" max="7" width="9.140625" style="7" customWidth="1"/>
    <col min="8" max="8" width="5.8515625" style="7" customWidth="1"/>
    <col min="9" max="9" width="4.28125" style="7" customWidth="1"/>
    <col min="10" max="10" width="29.421875" style="7" customWidth="1"/>
    <col min="11" max="16384" width="9.140625" style="7" customWidth="1"/>
  </cols>
  <sheetData>
    <row r="1" spans="1:12" ht="15">
      <c r="A1" s="9" t="s">
        <v>67</v>
      </c>
      <c r="J1" s="9" t="s">
        <v>74</v>
      </c>
      <c r="L1" s="8" t="s">
        <v>75</v>
      </c>
    </row>
    <row r="2" spans="1:13" ht="15">
      <c r="A2" s="7" t="s">
        <v>68</v>
      </c>
      <c r="B2" s="23">
        <f>Rantsoen!L36</f>
        <v>81161.5275</v>
      </c>
      <c r="C2" s="7" t="s">
        <v>71</v>
      </c>
      <c r="J2" s="7" t="s">
        <v>174</v>
      </c>
      <c r="K2" s="38">
        <f>L2</f>
        <v>11000</v>
      </c>
      <c r="L2" s="3">
        <f>VLOOKUP("*",Hoofdpagina!D54:F59,2,1)</f>
        <v>11000</v>
      </c>
      <c r="M2" s="7" t="s">
        <v>176</v>
      </c>
    </row>
    <row r="3" spans="1:13" ht="15">
      <c r="A3" s="7" t="s">
        <v>69</v>
      </c>
      <c r="B3" s="23">
        <f>Rantsoen!L29</f>
        <v>105165.19371101237</v>
      </c>
      <c r="C3" s="7" t="s">
        <v>71</v>
      </c>
      <c r="J3" s="7" t="s">
        <v>175</v>
      </c>
      <c r="K3" s="38">
        <f>L3</f>
        <v>14500</v>
      </c>
      <c r="L3" s="3">
        <f>VLOOKUP("*",Hoofdpagina!D54:O59,3,1)</f>
        <v>14500</v>
      </c>
      <c r="M3" s="7" t="s">
        <v>176</v>
      </c>
    </row>
    <row r="4" spans="1:3" ht="15">
      <c r="A4" s="7" t="s">
        <v>70</v>
      </c>
      <c r="B4" s="23">
        <f>Rantsoen!L30</f>
        <v>11685.021523445817</v>
      </c>
      <c r="C4" s="7" t="s">
        <v>71</v>
      </c>
    </row>
    <row r="5" spans="1:10" ht="15">
      <c r="A5" s="7" t="s">
        <v>73</v>
      </c>
      <c r="B5" s="23">
        <f>Rantsoen!L31</f>
        <v>0</v>
      </c>
      <c r="C5" s="7" t="s">
        <v>71</v>
      </c>
      <c r="J5" s="10" t="s">
        <v>415</v>
      </c>
    </row>
    <row r="6" spans="10:13" ht="15">
      <c r="J6" s="7" t="s">
        <v>134</v>
      </c>
      <c r="K6" s="31">
        <f>B2/K2</f>
        <v>7.378320681818182</v>
      </c>
      <c r="L6" s="31">
        <f>B2/L2</f>
        <v>7.378320681818182</v>
      </c>
      <c r="M6" s="7" t="s">
        <v>139</v>
      </c>
    </row>
    <row r="7" spans="1:14" s="20" customFormat="1" ht="15">
      <c r="A7" s="15" t="s">
        <v>72</v>
      </c>
      <c r="D7" s="20" t="s">
        <v>346</v>
      </c>
      <c r="E7" s="52" t="s">
        <v>77</v>
      </c>
      <c r="G7" s="20" t="s">
        <v>78</v>
      </c>
      <c r="J7" s="7" t="s">
        <v>136</v>
      </c>
      <c r="K7" s="31">
        <f>IF(Hoofdpagina!C51=1,B4/K3,0)</f>
        <v>0.8058635533410908</v>
      </c>
      <c r="L7" s="31">
        <f>IF(Hoofdpagina!C51=1,B4/L3,0)</f>
        <v>0.8058635533410908</v>
      </c>
      <c r="M7" s="7" t="s">
        <v>139</v>
      </c>
      <c r="N7" s="7"/>
    </row>
    <row r="8" spans="1:13" ht="15">
      <c r="A8" s="7" t="s">
        <v>69</v>
      </c>
      <c r="B8" s="23">
        <f>IF(Hoofdpagina!C51=1,0,B3)</f>
        <v>0</v>
      </c>
      <c r="C8" s="7" t="s">
        <v>71</v>
      </c>
      <c r="D8" s="67">
        <f>(Hoofdpagina!B28/0.45)/1000</f>
        <v>0.17333333333333334</v>
      </c>
      <c r="E8" s="22">
        <f>(Hoofdpagina!C28/0.45)/1000</f>
        <v>0.17333333333333334</v>
      </c>
      <c r="F8" s="7" t="s">
        <v>347</v>
      </c>
      <c r="G8" s="23">
        <f>B8*D8</f>
        <v>0</v>
      </c>
      <c r="H8" s="7" t="s">
        <v>52</v>
      </c>
      <c r="J8" s="7" t="s">
        <v>135</v>
      </c>
      <c r="K8" s="31">
        <f>IF(Hoofdpagina!C51=1,B3/K2,0)</f>
        <v>9.560472155546579</v>
      </c>
      <c r="L8" s="31">
        <f>IF(Hoofdpagina!C51=1,B3/L2,0)</f>
        <v>9.560472155546579</v>
      </c>
      <c r="M8" s="7" t="s">
        <v>139</v>
      </c>
    </row>
    <row r="9" spans="1:13" ht="15" thickBot="1">
      <c r="A9" s="7" t="s">
        <v>70</v>
      </c>
      <c r="B9" s="23">
        <f>IF(Hoofdpagina!C51=1,0,B4)</f>
        <v>0</v>
      </c>
      <c r="C9" s="7" t="s">
        <v>71</v>
      </c>
      <c r="D9" s="67">
        <f>(Hoofdpagina!B29/0.33)/1000</f>
        <v>0.12727272727272726</v>
      </c>
      <c r="E9" s="22">
        <f>(Hoofdpagina!C29/0.33)/1000</f>
        <v>0.12727272727272726</v>
      </c>
      <c r="F9" s="7" t="s">
        <v>347</v>
      </c>
      <c r="G9" s="23">
        <f>B9*D9</f>
        <v>0</v>
      </c>
      <c r="H9" s="7" t="s">
        <v>52</v>
      </c>
      <c r="J9" s="7" t="s">
        <v>137</v>
      </c>
      <c r="K9" s="42">
        <f>L9</f>
        <v>2500</v>
      </c>
      <c r="L9" s="30">
        <v>2500</v>
      </c>
      <c r="M9" s="7" t="s">
        <v>140</v>
      </c>
    </row>
    <row r="10" spans="1:13" ht="15" thickBot="1">
      <c r="A10" s="7" t="s">
        <v>73</v>
      </c>
      <c r="B10" s="23">
        <f>B5</f>
        <v>0</v>
      </c>
      <c r="C10" s="7" t="s">
        <v>71</v>
      </c>
      <c r="D10" s="68">
        <f>IF(B5&gt;0,E10,0)</f>
        <v>0</v>
      </c>
      <c r="E10" s="22">
        <v>0.1</v>
      </c>
      <c r="F10" s="7" t="s">
        <v>347</v>
      </c>
      <c r="G10" s="25">
        <f>B10*D10</f>
        <v>0</v>
      </c>
      <c r="H10" s="7" t="s">
        <v>52</v>
      </c>
      <c r="J10" s="7" t="s">
        <v>138</v>
      </c>
      <c r="K10" s="32">
        <f>IF(Hoofdpagina!C51=1,B3/K9,0)</f>
        <v>42.06607748440495</v>
      </c>
      <c r="L10" s="31">
        <f>IF(Hoofdpagina!C51=1,B3/L9,0)</f>
        <v>42.06607748440495</v>
      </c>
      <c r="M10" s="7" t="s">
        <v>139</v>
      </c>
    </row>
    <row r="11" spans="1:8" ht="15" thickBot="1">
      <c r="A11" s="7" t="s">
        <v>169</v>
      </c>
      <c r="G11" s="28">
        <f>SUM(G8:G10)</f>
        <v>0</v>
      </c>
      <c r="H11" s="7" t="s">
        <v>52</v>
      </c>
    </row>
    <row r="12" spans="10:13" ht="15" thickBot="1">
      <c r="J12" s="7" t="s">
        <v>416</v>
      </c>
      <c r="K12" s="27">
        <f>K6+K7+K8</f>
        <v>17.744656390705853</v>
      </c>
      <c r="M12" s="7" t="s">
        <v>139</v>
      </c>
    </row>
    <row r="13" ht="15">
      <c r="K13" s="33"/>
    </row>
    <row r="15" spans="1:11" ht="15">
      <c r="A15" s="9" t="s">
        <v>418</v>
      </c>
      <c r="J15" s="9" t="s">
        <v>417</v>
      </c>
      <c r="K15" s="33"/>
    </row>
    <row r="16" spans="2:12" ht="15">
      <c r="B16" s="8" t="s">
        <v>84</v>
      </c>
      <c r="C16" s="8" t="s">
        <v>75</v>
      </c>
      <c r="K16" s="8" t="s">
        <v>84</v>
      </c>
      <c r="L16" s="8" t="s">
        <v>75</v>
      </c>
    </row>
    <row r="17" spans="1:13" ht="15">
      <c r="A17" s="7" t="s">
        <v>141</v>
      </c>
      <c r="B17" s="38">
        <f>C17</f>
        <v>90</v>
      </c>
      <c r="C17" s="115">
        <v>90</v>
      </c>
      <c r="D17" s="7" t="s">
        <v>146</v>
      </c>
      <c r="J17" s="7" t="s">
        <v>160</v>
      </c>
      <c r="K17" s="38">
        <f>L17</f>
        <v>75</v>
      </c>
      <c r="L17" s="115">
        <v>75</v>
      </c>
      <c r="M17" s="7" t="s">
        <v>146</v>
      </c>
    </row>
    <row r="18" spans="1:13" ht="15">
      <c r="A18" s="7" t="s">
        <v>160</v>
      </c>
      <c r="B18" s="38">
        <f>C18</f>
        <v>16</v>
      </c>
      <c r="C18" s="115">
        <v>16</v>
      </c>
      <c r="D18" s="7" t="s">
        <v>146</v>
      </c>
      <c r="J18" s="7" t="s">
        <v>143</v>
      </c>
      <c r="K18" s="38">
        <f>L18</f>
        <v>220</v>
      </c>
      <c r="L18" s="115">
        <v>220</v>
      </c>
      <c r="M18" s="7" t="s">
        <v>146</v>
      </c>
    </row>
    <row r="19" spans="1:13" ht="16.5">
      <c r="A19" s="7" t="s">
        <v>142</v>
      </c>
      <c r="B19" s="38">
        <f>C19</f>
        <v>10</v>
      </c>
      <c r="C19" s="115">
        <v>10</v>
      </c>
      <c r="D19" s="7" t="s">
        <v>6</v>
      </c>
      <c r="J19" s="7" t="s">
        <v>167</v>
      </c>
      <c r="K19" s="23">
        <f>Mest!B34*Mest!I34</f>
        <v>87.31659725186346</v>
      </c>
      <c r="L19" s="86"/>
      <c r="M19" s="7" t="s">
        <v>146</v>
      </c>
    </row>
    <row r="20" spans="1:12" ht="15">
      <c r="A20" s="7" t="s">
        <v>143</v>
      </c>
      <c r="B20" s="38">
        <f>C20</f>
        <v>190</v>
      </c>
      <c r="C20" s="115">
        <v>190</v>
      </c>
      <c r="D20" s="7" t="s">
        <v>147</v>
      </c>
      <c r="L20" s="21"/>
    </row>
    <row r="21" spans="1:12" ht="17.25" thickBot="1">
      <c r="A21" s="7" t="s">
        <v>207</v>
      </c>
      <c r="B21" s="25">
        <f>IF(K12&gt;0,Mest!B30*Mest!I34+(Mest!N35/Mest!B14),0)</f>
        <v>211.11659725186345</v>
      </c>
      <c r="C21" s="21"/>
      <c r="D21" s="7" t="s">
        <v>146</v>
      </c>
      <c r="L21" s="21"/>
    </row>
    <row r="22" spans="1:13" ht="15" thickBot="1">
      <c r="A22" s="7" t="s">
        <v>162</v>
      </c>
      <c r="B22" s="28">
        <f>B17*(K6+K8)+B18*(K6+K8)+(B19/100)*B20*(K6+K8)+B21*(K6+K8)</f>
        <v>5693.40941004928</v>
      </c>
      <c r="C22" s="21"/>
      <c r="D22" s="7" t="s">
        <v>52</v>
      </c>
      <c r="J22" s="7" t="s">
        <v>163</v>
      </c>
      <c r="K22" s="28">
        <f>K7*K17+K7*K18+K7*K19</f>
        <v>308.0950115626614</v>
      </c>
      <c r="L22" s="21"/>
      <c r="M22" s="7" t="s">
        <v>52</v>
      </c>
    </row>
    <row r="23" spans="3:12" ht="15">
      <c r="C23" s="21"/>
      <c r="L23" s="21"/>
    </row>
    <row r="24" spans="1:12" ht="15">
      <c r="A24" s="7" t="s">
        <v>366</v>
      </c>
      <c r="B24" s="11"/>
      <c r="C24" s="86"/>
      <c r="J24" s="7" t="s">
        <v>148</v>
      </c>
      <c r="K24" s="11"/>
      <c r="L24" s="21"/>
    </row>
    <row r="25" spans="1:13" ht="15">
      <c r="A25" s="7" t="s">
        <v>152</v>
      </c>
      <c r="B25" s="38">
        <f>C25</f>
        <v>258</v>
      </c>
      <c r="C25" s="115">
        <f>VLOOKUP("*",Hoofdpagina!D54:G59,4,1)</f>
        <v>258</v>
      </c>
      <c r="D25" s="7" t="s">
        <v>147</v>
      </c>
      <c r="J25" s="7" t="s">
        <v>172</v>
      </c>
      <c r="K25" s="38">
        <f>L25</f>
        <v>185</v>
      </c>
      <c r="L25" s="115">
        <f>VLOOKUP("*",Hoofdpagina!D54:J59,5,1)</f>
        <v>185</v>
      </c>
      <c r="M25" s="7" t="s">
        <v>146</v>
      </c>
    </row>
    <row r="26" spans="1:13" ht="15">
      <c r="A26" s="7" t="s">
        <v>149</v>
      </c>
      <c r="B26" s="38">
        <f>C26</f>
        <v>25</v>
      </c>
      <c r="C26" s="115">
        <v>25</v>
      </c>
      <c r="D26" s="7" t="s">
        <v>153</v>
      </c>
      <c r="J26" s="7" t="s">
        <v>158</v>
      </c>
      <c r="K26" s="38">
        <f>L26</f>
        <v>78</v>
      </c>
      <c r="L26" s="115">
        <v>78</v>
      </c>
      <c r="M26" s="7" t="s">
        <v>146</v>
      </c>
    </row>
    <row r="27" spans="1:13" ht="15">
      <c r="A27" s="7" t="s">
        <v>150</v>
      </c>
      <c r="B27" s="38">
        <v>0</v>
      </c>
      <c r="C27" s="115">
        <v>19</v>
      </c>
      <c r="D27" s="7" t="s">
        <v>153</v>
      </c>
      <c r="J27" s="7" t="s">
        <v>159</v>
      </c>
      <c r="K27" s="38">
        <f>L27</f>
        <v>38</v>
      </c>
      <c r="L27" s="115">
        <v>38</v>
      </c>
      <c r="M27" s="7" t="s">
        <v>146</v>
      </c>
    </row>
    <row r="28" spans="1:13" ht="15">
      <c r="A28" s="7" t="s">
        <v>151</v>
      </c>
      <c r="B28" s="38">
        <f>C28</f>
        <v>19</v>
      </c>
      <c r="C28" s="115">
        <v>19</v>
      </c>
      <c r="D28" s="7" t="s">
        <v>153</v>
      </c>
      <c r="J28" s="7" t="s">
        <v>161</v>
      </c>
      <c r="K28" s="38">
        <f>L28</f>
        <v>380</v>
      </c>
      <c r="L28" s="115">
        <v>380</v>
      </c>
      <c r="M28" s="7" t="s">
        <v>146</v>
      </c>
    </row>
    <row r="29" spans="1:13" ht="16.5">
      <c r="A29" s="7" t="s">
        <v>155</v>
      </c>
      <c r="B29" s="38">
        <f>C29</f>
        <v>125</v>
      </c>
      <c r="C29" s="115">
        <v>125</v>
      </c>
      <c r="D29" s="7" t="s">
        <v>153</v>
      </c>
      <c r="J29" s="7" t="s">
        <v>166</v>
      </c>
      <c r="K29" s="38">
        <f>L29</f>
        <v>2.95</v>
      </c>
      <c r="L29" s="115">
        <v>2.95</v>
      </c>
      <c r="M29" s="7" t="s">
        <v>146</v>
      </c>
    </row>
    <row r="30" spans="1:13" ht="16.5">
      <c r="A30" s="7" t="s">
        <v>166</v>
      </c>
      <c r="B30" s="38">
        <f>C30</f>
        <v>3.15</v>
      </c>
      <c r="C30" s="115">
        <v>3.15</v>
      </c>
      <c r="D30" s="7" t="s">
        <v>154</v>
      </c>
      <c r="F30" s="11"/>
      <c r="G30" s="11"/>
      <c r="K30" s="23">
        <f>Mest!B25*Mest!B15</f>
        <v>11.644238825930415</v>
      </c>
      <c r="L30" s="21"/>
      <c r="M30" s="7" t="s">
        <v>436</v>
      </c>
    </row>
    <row r="31" spans="2:13" ht="15">
      <c r="B31" s="23">
        <f>Mest!B24*Mest!B14</f>
        <v>394.4786984424696</v>
      </c>
      <c r="C31" s="86"/>
      <c r="D31" s="7" t="s">
        <v>208</v>
      </c>
      <c r="F31" s="11"/>
      <c r="G31" s="11"/>
      <c r="J31" s="7" t="s">
        <v>156</v>
      </c>
      <c r="K31" s="41">
        <f>L31</f>
        <v>26</v>
      </c>
      <c r="L31" s="115">
        <v>26</v>
      </c>
      <c r="M31" s="7" t="s">
        <v>146</v>
      </c>
    </row>
    <row r="32" spans="1:4" ht="15">
      <c r="A32" s="7" t="s">
        <v>156</v>
      </c>
      <c r="B32" s="38">
        <f>C32</f>
        <v>26</v>
      </c>
      <c r="C32" s="115">
        <v>26</v>
      </c>
      <c r="D32" s="7" t="s">
        <v>157</v>
      </c>
    </row>
    <row r="33" ht="15" thickBot="1"/>
    <row r="34" spans="1:13" ht="15" thickBot="1">
      <c r="A34" s="7" t="s">
        <v>164</v>
      </c>
      <c r="B34" s="28">
        <f>(K6+K8)*(B19/100)*B25+B26*K10+B27*K10+B28*K10+B29*K10+B30*B31+B32*(K6+K8)</f>
        <v>9229.204463933711</v>
      </c>
      <c r="D34" s="7" t="s">
        <v>52</v>
      </c>
      <c r="J34" s="7" t="s">
        <v>165</v>
      </c>
      <c r="K34" s="28">
        <f>K7*K25+K7*K26+K7*K27+K7*K28+K29*K30+K7*K31</f>
        <v>604.0960367486459</v>
      </c>
      <c r="M34" s="7" t="s">
        <v>52</v>
      </c>
    </row>
    <row r="36" spans="1:2" ht="16.5">
      <c r="A36" s="141" t="s">
        <v>168</v>
      </c>
      <c r="B36" s="135"/>
    </row>
  </sheetData>
  <sheetProtection sheet="1" objects="1" scenarios="1"/>
  <mergeCells count="1">
    <mergeCell ref="A36:B36"/>
  </mergeCells>
  <hyperlinks>
    <hyperlink ref="A36" location="Mest!A1" display="1 Zie ook tabblad bemesting voor meer detail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2"/>
  <headerFooter>
    <oddHeader>&amp;C&amp;A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2.421875" style="7" customWidth="1"/>
    <col min="2" max="3" width="9.140625" style="7" customWidth="1"/>
    <col min="4" max="4" width="4.00390625" style="7" customWidth="1"/>
    <col min="5" max="12" width="9.140625" style="7" customWidth="1"/>
    <col min="13" max="13" width="20.28125" style="7" customWidth="1"/>
    <col min="14" max="16384" width="9.140625" style="7" customWidth="1"/>
  </cols>
  <sheetData>
    <row r="1" spans="1:6" ht="15">
      <c r="A1" s="9" t="s">
        <v>211</v>
      </c>
      <c r="B1" s="81" t="s">
        <v>90</v>
      </c>
      <c r="C1" s="81" t="s">
        <v>75</v>
      </c>
      <c r="D1" s="83"/>
      <c r="E1" s="82" t="s">
        <v>92</v>
      </c>
      <c r="F1" s="82" t="s">
        <v>75</v>
      </c>
    </row>
    <row r="2" spans="1:7" ht="15.75" thickBot="1">
      <c r="A2" s="7" t="s">
        <v>91</v>
      </c>
      <c r="B2" s="16">
        <f>'Algemeen en dieraantallen'!B8</f>
        <v>30.906</v>
      </c>
      <c r="D2" s="11"/>
      <c r="E2" s="16">
        <f>'Algemeen en dieraantallen'!B11</f>
        <v>35.394</v>
      </c>
      <c r="G2" s="7" t="s">
        <v>44</v>
      </c>
    </row>
    <row r="3" spans="1:15" ht="15.75" thickBot="1">
      <c r="A3" s="7" t="s">
        <v>211</v>
      </c>
      <c r="B3" s="123">
        <f>Hoofdpagina!B32</f>
        <v>38</v>
      </c>
      <c r="C3" s="86"/>
      <c r="D3" s="86"/>
      <c r="E3" s="123">
        <f>Hoofdpagina!B33</f>
        <v>16</v>
      </c>
      <c r="F3" s="11"/>
      <c r="G3" s="7" t="s">
        <v>212</v>
      </c>
      <c r="M3" s="8" t="s">
        <v>220</v>
      </c>
      <c r="N3" s="28">
        <f>B2*B3+E2*E3</f>
        <v>1740.732</v>
      </c>
      <c r="O3" s="7" t="s">
        <v>52</v>
      </c>
    </row>
    <row r="4" ht="15">
      <c r="D4" s="11"/>
    </row>
    <row r="5" spans="1:6" ht="15">
      <c r="A5" s="9" t="s">
        <v>214</v>
      </c>
      <c r="B5" s="8"/>
      <c r="C5" s="8"/>
      <c r="D5" s="52"/>
      <c r="E5" s="82" t="s">
        <v>92</v>
      </c>
      <c r="F5" s="82" t="s">
        <v>75</v>
      </c>
    </row>
    <row r="6" spans="1:7" ht="15">
      <c r="A6" s="7" t="s">
        <v>215</v>
      </c>
      <c r="D6" s="11"/>
      <c r="E6" s="38">
        <f>F6</f>
        <v>1.8</v>
      </c>
      <c r="F6" s="26">
        <v>1.8</v>
      </c>
      <c r="G6" s="7" t="s">
        <v>218</v>
      </c>
    </row>
    <row r="7" spans="1:7" ht="15.75" thickBot="1">
      <c r="A7" s="7" t="s">
        <v>216</v>
      </c>
      <c r="D7" s="11"/>
      <c r="E7" s="38">
        <f>F7</f>
        <v>13.1</v>
      </c>
      <c r="F7" s="2">
        <v>13.1</v>
      </c>
      <c r="G7" s="7" t="s">
        <v>52</v>
      </c>
    </row>
    <row r="8" spans="1:15" ht="15.75" thickBot="1">
      <c r="A8" s="7" t="s">
        <v>217</v>
      </c>
      <c r="D8" s="11"/>
      <c r="E8" s="38">
        <f>F8</f>
        <v>15</v>
      </c>
      <c r="F8" s="2">
        <v>15</v>
      </c>
      <c r="G8" s="7" t="s">
        <v>52</v>
      </c>
      <c r="I8" s="7" t="s">
        <v>236</v>
      </c>
      <c r="K8" s="53">
        <f>E6*(E7+E8)</f>
        <v>50.580000000000005</v>
      </c>
      <c r="M8" s="8" t="s">
        <v>221</v>
      </c>
      <c r="N8" s="28">
        <f>K8*E2</f>
        <v>1790.2285200000001</v>
      </c>
      <c r="O8" s="7" t="s">
        <v>52</v>
      </c>
    </row>
    <row r="9" ht="15">
      <c r="D9" s="11"/>
    </row>
    <row r="10" spans="1:6" ht="15.75" thickBot="1">
      <c r="A10" s="9" t="s">
        <v>223</v>
      </c>
      <c r="B10" s="81" t="s">
        <v>90</v>
      </c>
      <c r="C10" s="81" t="s">
        <v>75</v>
      </c>
      <c r="D10" s="52"/>
      <c r="E10" s="82" t="s">
        <v>92</v>
      </c>
      <c r="F10" s="82" t="s">
        <v>75</v>
      </c>
    </row>
    <row r="11" spans="1:15" ht="15.75" thickBot="1">
      <c r="A11" s="7" t="s">
        <v>219</v>
      </c>
      <c r="B11" s="80">
        <f>C11</f>
        <v>6.95</v>
      </c>
      <c r="C11" s="115">
        <v>6.95</v>
      </c>
      <c r="D11" s="11"/>
      <c r="E11" s="38">
        <f>F11</f>
        <v>6.95</v>
      </c>
      <c r="F11" s="2">
        <v>6.95</v>
      </c>
      <c r="G11" s="7" t="s">
        <v>47</v>
      </c>
      <c r="M11" s="8" t="s">
        <v>224</v>
      </c>
      <c r="N11" s="28">
        <f>B2*B11+E2*E11</f>
        <v>460.78499999999997</v>
      </c>
      <c r="O11" s="7" t="s">
        <v>52</v>
      </c>
    </row>
    <row r="12" ht="15">
      <c r="D12" s="11"/>
    </row>
    <row r="13" spans="1:6" ht="15">
      <c r="A13" s="9" t="s">
        <v>227</v>
      </c>
      <c r="B13" s="81" t="s">
        <v>90</v>
      </c>
      <c r="C13" s="81" t="s">
        <v>75</v>
      </c>
      <c r="D13" s="52"/>
      <c r="E13" s="82" t="s">
        <v>92</v>
      </c>
      <c r="F13" s="82" t="s">
        <v>75</v>
      </c>
    </row>
    <row r="14" spans="1:6" ht="15">
      <c r="A14" s="7" t="s">
        <v>230</v>
      </c>
      <c r="C14" s="52"/>
      <c r="D14" s="52"/>
      <c r="E14" s="11"/>
      <c r="F14" s="52"/>
    </row>
    <row r="15" spans="1:11" ht="15.75" thickBot="1">
      <c r="A15" s="7" t="s">
        <v>228</v>
      </c>
      <c r="B15" s="80">
        <f>C15</f>
        <v>140</v>
      </c>
      <c r="C15" s="3">
        <f>IF(Hoofdpagina!C62=1,140,65)</f>
        <v>140</v>
      </c>
      <c r="D15" s="11"/>
      <c r="E15" s="38">
        <f>F15</f>
        <v>65</v>
      </c>
      <c r="F15" s="26">
        <f>IF(Hoofdpagina!C65=1,140,65)</f>
        <v>65</v>
      </c>
      <c r="G15" s="7" t="s">
        <v>229</v>
      </c>
      <c r="I15" s="7" t="s">
        <v>233</v>
      </c>
      <c r="K15" s="53">
        <f>(B15/1000)*B16</f>
        <v>16.8</v>
      </c>
    </row>
    <row r="16" spans="1:15" ht="15.75" thickBot="1">
      <c r="A16" s="7" t="s">
        <v>231</v>
      </c>
      <c r="B16" s="80">
        <f>C16</f>
        <v>120</v>
      </c>
      <c r="C16" s="115">
        <f>IF(Hoofdpagina!C62=1,120,200)</f>
        <v>120</v>
      </c>
      <c r="D16" s="11"/>
      <c r="E16" s="38">
        <f>F16</f>
        <v>200</v>
      </c>
      <c r="F16" s="115">
        <f>IF(Hoofdpagina!C65=1,120,200)</f>
        <v>200</v>
      </c>
      <c r="G16" s="7" t="s">
        <v>232</v>
      </c>
      <c r="I16" s="7" t="s">
        <v>234</v>
      </c>
      <c r="K16" s="53">
        <f>(E15/1000)*E16</f>
        <v>13</v>
      </c>
      <c r="M16" s="8" t="s">
        <v>235</v>
      </c>
      <c r="N16" s="28">
        <f>B2*K15+E2*K16</f>
        <v>979.3428</v>
      </c>
      <c r="O16" s="7" t="s">
        <v>52</v>
      </c>
    </row>
    <row r="17" ht="15">
      <c r="D17" s="11"/>
    </row>
    <row r="18" spans="1:6" ht="15">
      <c r="A18" s="9" t="s">
        <v>237</v>
      </c>
      <c r="B18" s="81" t="s">
        <v>90</v>
      </c>
      <c r="C18" s="81" t="s">
        <v>75</v>
      </c>
      <c r="D18" s="52"/>
      <c r="E18" s="82" t="s">
        <v>92</v>
      </c>
      <c r="F18" s="82" t="s">
        <v>75</v>
      </c>
    </row>
    <row r="19" spans="1:11" ht="15.75" thickBot="1">
      <c r="A19" s="7" t="s">
        <v>238</v>
      </c>
      <c r="B19" s="80">
        <f>C19</f>
        <v>315</v>
      </c>
      <c r="C19" s="115">
        <v>315</v>
      </c>
      <c r="D19" s="11"/>
      <c r="E19" s="38">
        <f>F19</f>
        <v>925</v>
      </c>
      <c r="F19" s="2">
        <v>925</v>
      </c>
      <c r="G19" s="7" t="s">
        <v>212</v>
      </c>
      <c r="I19" s="7" t="s">
        <v>240</v>
      </c>
      <c r="K19" s="53">
        <f>B19*(B20/100)</f>
        <v>11.025</v>
      </c>
    </row>
    <row r="20" spans="1:15" ht="15.75" thickBot="1">
      <c r="A20" s="7" t="s">
        <v>239</v>
      </c>
      <c r="B20" s="115">
        <f>Hoofdpagina!B12</f>
        <v>3.5</v>
      </c>
      <c r="D20" s="11"/>
      <c r="E20" s="115">
        <f>Hoofdpagina!B12</f>
        <v>3.5</v>
      </c>
      <c r="G20" s="7" t="s">
        <v>6</v>
      </c>
      <c r="I20" s="7" t="s">
        <v>241</v>
      </c>
      <c r="K20" s="53">
        <f>E19*(E20/100)</f>
        <v>32.375</v>
      </c>
      <c r="M20" s="8" t="s">
        <v>242</v>
      </c>
      <c r="N20" s="28">
        <f>B2*K19+E2*K20</f>
        <v>1486.6194</v>
      </c>
      <c r="O20" s="7" t="s">
        <v>52</v>
      </c>
    </row>
    <row r="21" ht="15">
      <c r="D21" s="11"/>
    </row>
    <row r="22" spans="1:4" ht="15">
      <c r="A22" s="9" t="s">
        <v>243</v>
      </c>
      <c r="D22" s="11"/>
    </row>
    <row r="23" spans="1:6" ht="15">
      <c r="A23" s="13" t="s">
        <v>244</v>
      </c>
      <c r="B23" s="81" t="s">
        <v>90</v>
      </c>
      <c r="C23" s="81" t="s">
        <v>75</v>
      </c>
      <c r="D23" s="52"/>
      <c r="E23" s="82" t="s">
        <v>92</v>
      </c>
      <c r="F23" s="82" t="s">
        <v>75</v>
      </c>
    </row>
    <row r="24" spans="1:7" ht="15">
      <c r="A24" s="7" t="s">
        <v>245</v>
      </c>
      <c r="C24" s="16">
        <f>'Algemeen en dieraantallen'!B8*('Algemeen en dieraantallen'!B6/100)</f>
        <v>0.61812</v>
      </c>
      <c r="D24" s="71"/>
      <c r="F24" s="16">
        <f>'Algemeen en dieraantallen'!B11*('Algemeen en dieraantallen'!B7/100)</f>
        <v>0.70788</v>
      </c>
      <c r="G24" s="7" t="s">
        <v>44</v>
      </c>
    </row>
    <row r="25" spans="1:11" ht="15.75" thickBot="1">
      <c r="A25" s="7" t="s">
        <v>246</v>
      </c>
      <c r="B25" s="116">
        <f>C25</f>
        <v>18.97</v>
      </c>
      <c r="C25" s="115">
        <v>18.97</v>
      </c>
      <c r="D25" s="11"/>
      <c r="E25" s="38">
        <f>F25</f>
        <v>18.97</v>
      </c>
      <c r="F25" s="2">
        <v>18.97</v>
      </c>
      <c r="G25" s="7" t="s">
        <v>254</v>
      </c>
      <c r="I25" s="7" t="s">
        <v>251</v>
      </c>
      <c r="K25" s="53">
        <f>(CEILING(C24,1))*C25+C24*C26</f>
        <v>20.947983999999998</v>
      </c>
    </row>
    <row r="26" spans="1:15" ht="15.75" thickBot="1">
      <c r="A26" s="7" t="s">
        <v>247</v>
      </c>
      <c r="B26" s="80">
        <f>C26</f>
        <v>3.2</v>
      </c>
      <c r="C26" s="115">
        <v>3.2</v>
      </c>
      <c r="D26" s="11"/>
      <c r="E26" s="38">
        <f>F26</f>
        <v>28.26</v>
      </c>
      <c r="F26" s="2">
        <v>28.26</v>
      </c>
      <c r="G26" s="7" t="s">
        <v>212</v>
      </c>
      <c r="I26" s="7" t="s">
        <v>252</v>
      </c>
      <c r="K26" s="53">
        <f>(CEILING(F24,1))*F25+F24*F26</f>
        <v>38.974688799999996</v>
      </c>
      <c r="M26" s="8" t="s">
        <v>250</v>
      </c>
      <c r="N26" s="28">
        <f>K25+K26</f>
        <v>59.922672799999994</v>
      </c>
      <c r="O26" s="7" t="s">
        <v>52</v>
      </c>
    </row>
    <row r="27" ht="15"/>
    <row r="28" ht="15" hidden="1">
      <c r="A28" s="9"/>
    </row>
    <row r="29" ht="15" hidden="1"/>
    <row r="30" ht="15" hidden="1"/>
    <row r="31" ht="15" hidden="1"/>
    <row r="32" ht="15" hidden="1"/>
    <row r="33" ht="15" hidden="1"/>
    <row r="34" ht="15" hidden="1"/>
    <row r="35" ht="15"/>
  </sheetData>
  <sheetProtection sheet="1" objects="1" scenarios="1"/>
  <hyperlinks>
    <hyperlink ref="A23" location="Algemeen!A1" display="zie voor uitval pagina Algemeen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4"/>
  <headerFooter>
    <oddHeader>&amp;C&amp;A</oddHeader>
  </headerFooter>
  <ignoredErrors>
    <ignoredError sqref="E3:E4 E17 E6:E9 E11:E12 E19:E22 E24:E26 E16 E15:F15 B15:C15 B16 B24:C24 B20:C22 B12:C12 B6:C9 B17:C17 B3:C4 B11 B19 B26 B25" unlockedFormula="1"/>
  </ignoredError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44.00390625" style="7" customWidth="1"/>
    <col min="2" max="2" width="12.28125" style="7" customWidth="1"/>
    <col min="3" max="3" width="10.140625" style="7" customWidth="1"/>
    <col min="4" max="8" width="9.140625" style="7" customWidth="1"/>
    <col min="9" max="9" width="5.140625" style="7" customWidth="1"/>
    <col min="10" max="16384" width="9.140625" style="7" customWidth="1"/>
  </cols>
  <sheetData>
    <row r="1" ht="15">
      <c r="A1" s="9" t="s">
        <v>28</v>
      </c>
    </row>
    <row r="2" spans="1:3" ht="15">
      <c r="A2" s="141" t="s">
        <v>253</v>
      </c>
      <c r="B2" s="135"/>
      <c r="C2" s="135"/>
    </row>
    <row r="3" spans="2:3" ht="15">
      <c r="B3" s="8" t="s">
        <v>84</v>
      </c>
      <c r="C3" s="8"/>
    </row>
    <row r="4" spans="1:4" ht="15" thickBot="1">
      <c r="A4" s="7" t="s">
        <v>419</v>
      </c>
      <c r="B4" s="22">
        <f>Ruwvoer!K12</f>
        <v>17.744656390705853</v>
      </c>
      <c r="D4" s="7" t="s">
        <v>139</v>
      </c>
    </row>
    <row r="5" spans="1:13" ht="15" thickBot="1">
      <c r="A5" s="7" t="s">
        <v>255</v>
      </c>
      <c r="B5" s="115">
        <f>Hoofdpagina!B39</f>
        <v>627</v>
      </c>
      <c r="D5" s="7" t="s">
        <v>146</v>
      </c>
      <c r="K5" s="8" t="s">
        <v>256</v>
      </c>
      <c r="L5" s="28">
        <f>B4*B5</f>
        <v>11125.89955697257</v>
      </c>
      <c r="M5" s="7" t="s">
        <v>52</v>
      </c>
    </row>
    <row r="7" spans="1:3" ht="15">
      <c r="A7" s="9" t="s">
        <v>10</v>
      </c>
      <c r="B7" s="8" t="s">
        <v>84</v>
      </c>
      <c r="C7" s="8" t="s">
        <v>75</v>
      </c>
    </row>
    <row r="8" spans="1:4" ht="15">
      <c r="A8" s="7" t="s">
        <v>257</v>
      </c>
      <c r="B8" s="43">
        <f>C8</f>
        <v>30.906</v>
      </c>
      <c r="C8" s="16">
        <f>'Algemeen en dieraantallen'!B8</f>
        <v>30.906</v>
      </c>
      <c r="D8" s="7" t="s">
        <v>258</v>
      </c>
    </row>
    <row r="9" spans="1:4" ht="15">
      <c r="A9" s="7" t="s">
        <v>269</v>
      </c>
      <c r="B9" s="115">
        <f>Hoofdpagina!B37</f>
        <v>2405</v>
      </c>
      <c r="D9" s="7" t="s">
        <v>259</v>
      </c>
    </row>
    <row r="10" spans="1:4" ht="15">
      <c r="A10" s="7" t="s">
        <v>260</v>
      </c>
      <c r="B10" s="43">
        <f>C10</f>
        <v>35.394</v>
      </c>
      <c r="C10" s="16">
        <f>'Algemeen en dieraantallen'!B11</f>
        <v>35.394</v>
      </c>
      <c r="D10" s="7" t="s">
        <v>258</v>
      </c>
    </row>
    <row r="11" spans="1:4" ht="15">
      <c r="A11" s="7" t="s">
        <v>261</v>
      </c>
      <c r="B11" s="115">
        <f>Hoofdpagina!B38</f>
        <v>2595</v>
      </c>
      <c r="D11" s="7" t="s">
        <v>259</v>
      </c>
    </row>
    <row r="12" spans="1:4" ht="15">
      <c r="A12" s="7" t="s">
        <v>270</v>
      </c>
      <c r="B12" s="38">
        <v>0</v>
      </c>
      <c r="D12" s="7" t="s">
        <v>52</v>
      </c>
    </row>
    <row r="13" spans="1:4" ht="15">
      <c r="A13" s="7" t="s">
        <v>271</v>
      </c>
      <c r="B13" s="38">
        <v>0</v>
      </c>
      <c r="D13" s="7" t="s">
        <v>52</v>
      </c>
    </row>
    <row r="14" spans="1:4" ht="15">
      <c r="A14" s="7" t="s">
        <v>274</v>
      </c>
      <c r="B14" s="23">
        <f>B8*B9+B10*B11+B12+B13</f>
        <v>166176.36</v>
      </c>
      <c r="D14" s="7" t="s">
        <v>52</v>
      </c>
    </row>
    <row r="15" spans="1:8" ht="15">
      <c r="A15" s="7" t="s">
        <v>239</v>
      </c>
      <c r="B15" s="3">
        <f>Hoofdpagina!B12</f>
        <v>3.5</v>
      </c>
      <c r="D15" s="7" t="s">
        <v>6</v>
      </c>
      <c r="E15" s="7" t="s">
        <v>264</v>
      </c>
      <c r="G15" s="23">
        <f>(B14*B15/100)*0.5</f>
        <v>2908.0863</v>
      </c>
      <c r="H15" s="7" t="s">
        <v>52</v>
      </c>
    </row>
    <row r="16" spans="1:8" ht="15" thickBot="1">
      <c r="A16" s="7" t="s">
        <v>262</v>
      </c>
      <c r="B16" s="38">
        <f>C16</f>
        <v>3</v>
      </c>
      <c r="C16" s="3">
        <v>3</v>
      </c>
      <c r="D16" s="7" t="s">
        <v>6</v>
      </c>
      <c r="E16" s="7" t="s">
        <v>265</v>
      </c>
      <c r="G16" s="23">
        <f>B14*B16/100</f>
        <v>4985.2908</v>
      </c>
      <c r="H16" s="7" t="s">
        <v>52</v>
      </c>
    </row>
    <row r="17" spans="1:13" ht="15" thickBot="1">
      <c r="A17" s="7" t="s">
        <v>263</v>
      </c>
      <c r="B17" s="38">
        <f>C17</f>
        <v>2</v>
      </c>
      <c r="C17" s="3">
        <v>2</v>
      </c>
      <c r="D17" s="7" t="s">
        <v>6</v>
      </c>
      <c r="E17" s="7" t="s">
        <v>266</v>
      </c>
      <c r="G17" s="23">
        <f>B14*B17/100</f>
        <v>3323.5271999999995</v>
      </c>
      <c r="H17" s="7" t="s">
        <v>52</v>
      </c>
      <c r="K17" s="8" t="s">
        <v>267</v>
      </c>
      <c r="L17" s="28">
        <f>G15+G16+G17</f>
        <v>11216.904299999998</v>
      </c>
      <c r="M17" s="7" t="s">
        <v>52</v>
      </c>
    </row>
    <row r="19" ht="15" hidden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</sheetData>
  <sheetProtection sheet="1" objects="1" scenarios="1"/>
  <mergeCells count="1">
    <mergeCell ref="A2:C2"/>
  </mergeCells>
  <hyperlinks>
    <hyperlink ref="A2" location="Ruwvoer!A1" display="zie voor oppervlakte grond tabblad Ruwvoer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2"/>
  <headerFooter>
    <oddHeader>&amp;C&amp;A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22">
      <selection activeCell="H44" sqref="H44"/>
    </sheetView>
  </sheetViews>
  <sheetFormatPr defaultColWidth="9.140625" defaultRowHeight="15"/>
  <cols>
    <col min="1" max="1" width="38.28125" style="7" customWidth="1"/>
    <col min="2" max="2" width="17.421875" style="7" bestFit="1" customWidth="1"/>
    <col min="3" max="4" width="9.140625" style="7" customWidth="1"/>
    <col min="5" max="5" width="7.421875" style="7" customWidth="1"/>
    <col min="6" max="6" width="9.140625" style="7" customWidth="1"/>
    <col min="7" max="7" width="7.8515625" style="7" customWidth="1"/>
    <col min="8" max="9" width="9.140625" style="7" customWidth="1"/>
    <col min="10" max="10" width="4.7109375" style="7" customWidth="1"/>
    <col min="11" max="11" width="9.140625" style="7" customWidth="1"/>
    <col min="12" max="12" width="8.28125" style="7" customWidth="1"/>
    <col min="13" max="13" width="19.7109375" style="7" customWidth="1"/>
    <col min="14" max="16384" width="9.140625" style="7" customWidth="1"/>
  </cols>
  <sheetData>
    <row r="1" spans="1:14" ht="15">
      <c r="A1" s="9" t="s">
        <v>420</v>
      </c>
      <c r="F1" s="77" t="s">
        <v>370</v>
      </c>
      <c r="G1" s="55"/>
      <c r="H1" s="55"/>
      <c r="I1" s="55"/>
      <c r="J1" s="55"/>
      <c r="K1" s="55"/>
      <c r="L1" s="55"/>
      <c r="M1" s="55"/>
      <c r="N1" s="57"/>
    </row>
    <row r="2" spans="2:14" ht="15">
      <c r="B2" s="8" t="s">
        <v>84</v>
      </c>
      <c r="C2" s="8" t="s">
        <v>75</v>
      </c>
      <c r="F2" s="58" t="s">
        <v>371</v>
      </c>
      <c r="G2" s="11"/>
      <c r="H2" s="11"/>
      <c r="I2" s="11"/>
      <c r="J2" s="11"/>
      <c r="K2" s="11"/>
      <c r="L2" s="11"/>
      <c r="M2" s="11"/>
      <c r="N2" s="59"/>
    </row>
    <row r="3" spans="1:14" ht="15">
      <c r="A3" s="7" t="s">
        <v>177</v>
      </c>
      <c r="B3" s="16">
        <f>'Algemeen en dieraantallen'!B8</f>
        <v>30.906</v>
      </c>
      <c r="D3" s="7" t="s">
        <v>44</v>
      </c>
      <c r="F3" s="58" t="s">
        <v>372</v>
      </c>
      <c r="G3" s="11"/>
      <c r="H3" s="11"/>
      <c r="I3" s="11"/>
      <c r="J3" s="11"/>
      <c r="K3" s="11"/>
      <c r="L3" s="11"/>
      <c r="M3" s="11"/>
      <c r="N3" s="59"/>
    </row>
    <row r="4" spans="1:14" ht="15">
      <c r="A4" s="7" t="s">
        <v>178</v>
      </c>
      <c r="B4" s="38">
        <f>C4</f>
        <v>14</v>
      </c>
      <c r="C4" s="3">
        <v>14</v>
      </c>
      <c r="D4" s="7" t="s">
        <v>180</v>
      </c>
      <c r="F4" s="58" t="s">
        <v>373</v>
      </c>
      <c r="G4" s="11"/>
      <c r="H4" s="11"/>
      <c r="I4" s="11"/>
      <c r="J4" s="11"/>
      <c r="K4" s="11"/>
      <c r="L4" s="11"/>
      <c r="M4" s="11"/>
      <c r="N4" s="59"/>
    </row>
    <row r="5" spans="1:14" ht="15">
      <c r="A5" s="7" t="s">
        <v>317</v>
      </c>
      <c r="B5" s="3">
        <f>Rantsoen!B9</f>
        <v>275</v>
      </c>
      <c r="D5" s="7" t="s">
        <v>53</v>
      </c>
      <c r="F5" s="58" t="s">
        <v>374</v>
      </c>
      <c r="G5" s="11"/>
      <c r="H5" s="11"/>
      <c r="I5" s="11"/>
      <c r="J5" s="11"/>
      <c r="K5" s="11"/>
      <c r="L5" s="11"/>
      <c r="M5" s="11"/>
      <c r="N5" s="59"/>
    </row>
    <row r="6" spans="1:14" ht="15">
      <c r="A6" s="7" t="s">
        <v>179</v>
      </c>
      <c r="B6" s="16">
        <f>'Algemeen en dieraantallen'!B11</f>
        <v>35.394</v>
      </c>
      <c r="D6" s="7" t="s">
        <v>44</v>
      </c>
      <c r="F6" s="58" t="s">
        <v>375</v>
      </c>
      <c r="G6" s="11"/>
      <c r="H6" s="11"/>
      <c r="I6" s="11"/>
      <c r="J6" s="11"/>
      <c r="K6" s="11"/>
      <c r="L6" s="11"/>
      <c r="M6" s="11"/>
      <c r="N6" s="59"/>
    </row>
    <row r="7" spans="1:14" ht="15">
      <c r="A7" s="7" t="s">
        <v>178</v>
      </c>
      <c r="B7" s="38">
        <f>C7</f>
        <v>33</v>
      </c>
      <c r="C7" s="3">
        <v>33</v>
      </c>
      <c r="D7" s="7" t="s">
        <v>180</v>
      </c>
      <c r="F7" s="58" t="s">
        <v>376</v>
      </c>
      <c r="G7" s="11"/>
      <c r="H7" s="11"/>
      <c r="I7" s="11"/>
      <c r="J7" s="11"/>
      <c r="K7" s="11"/>
      <c r="L7" s="11"/>
      <c r="M7" s="11"/>
      <c r="N7" s="59"/>
    </row>
    <row r="8" spans="1:14" ht="15">
      <c r="A8" s="7" t="s">
        <v>317</v>
      </c>
      <c r="B8" s="23">
        <f>Rantsoen!E9</f>
        <v>245.8342</v>
      </c>
      <c r="D8" s="7" t="s">
        <v>53</v>
      </c>
      <c r="F8" s="58" t="s">
        <v>378</v>
      </c>
      <c r="G8" s="11"/>
      <c r="H8" s="11"/>
      <c r="I8" s="11"/>
      <c r="J8" s="11"/>
      <c r="K8" s="11"/>
      <c r="L8" s="11"/>
      <c r="M8" s="11"/>
      <c r="N8" s="59"/>
    </row>
    <row r="9" spans="6:14" ht="15" thickBot="1">
      <c r="F9" s="63" t="s">
        <v>377</v>
      </c>
      <c r="G9" s="64"/>
      <c r="H9" s="64"/>
      <c r="I9" s="64"/>
      <c r="J9" s="64"/>
      <c r="K9" s="64"/>
      <c r="L9" s="64"/>
      <c r="M9" s="64"/>
      <c r="N9" s="66"/>
    </row>
    <row r="10" spans="1:4" ht="15">
      <c r="A10" s="7" t="s">
        <v>181</v>
      </c>
      <c r="B10" s="23">
        <f>(B3*B4*B5+B6*B7*B8)/1000</f>
        <v>406.1229372684</v>
      </c>
      <c r="D10" s="7" t="s">
        <v>182</v>
      </c>
    </row>
    <row r="11" spans="1:4" ht="15">
      <c r="A11" s="7" t="s">
        <v>183</v>
      </c>
      <c r="B11" s="38">
        <f>C11</f>
        <v>4.4</v>
      </c>
      <c r="C11" s="19">
        <v>4.4</v>
      </c>
      <c r="D11" s="7" t="s">
        <v>184</v>
      </c>
    </row>
    <row r="13" ht="15">
      <c r="A13" s="10" t="s">
        <v>421</v>
      </c>
    </row>
    <row r="14" spans="1:4" ht="15">
      <c r="A14" s="21" t="s">
        <v>188</v>
      </c>
      <c r="B14" s="22">
        <f>IF(Hoofdpagina!C51,Ruwvoer!K6+Ruwvoer!K8,Ruwvoer!K6)</f>
        <v>16.938792837364762</v>
      </c>
      <c r="D14" s="7" t="s">
        <v>139</v>
      </c>
    </row>
    <row r="15" spans="1:4" ht="15">
      <c r="A15" s="7" t="s">
        <v>189</v>
      </c>
      <c r="B15" s="22">
        <v>0.5</v>
      </c>
      <c r="C15" s="11"/>
      <c r="D15" s="7" t="s">
        <v>139</v>
      </c>
    </row>
    <row r="16" spans="1:3" ht="15">
      <c r="A16" s="7" t="s">
        <v>440</v>
      </c>
      <c r="B16" s="22"/>
      <c r="C16" s="11"/>
    </row>
    <row r="17" spans="1:4" ht="15">
      <c r="A17" s="7" t="s">
        <v>190</v>
      </c>
      <c r="B17" s="38">
        <f>C17</f>
        <v>230</v>
      </c>
      <c r="C17" s="2">
        <f>IF(B14+B15&gt;0,C46,0)</f>
        <v>230</v>
      </c>
      <c r="D17" s="7" t="s">
        <v>191</v>
      </c>
    </row>
    <row r="18" spans="1:4" ht="15">
      <c r="A18" s="7" t="s">
        <v>209</v>
      </c>
      <c r="B18" s="74">
        <f>B3*35.1+B6*66.7</f>
        <v>3445.5804</v>
      </c>
      <c r="C18" s="124">
        <f>B3*32.3+B6*66.9</f>
        <v>3366.1223999999997</v>
      </c>
      <c r="D18" s="7" t="s">
        <v>435</v>
      </c>
    </row>
    <row r="19" spans="1:4" ht="15" thickBot="1">
      <c r="A19" s="7" t="s">
        <v>193</v>
      </c>
      <c r="B19" s="23">
        <f>B17*(B14+B15)</f>
        <v>4010.922352593895</v>
      </c>
      <c r="D19" s="7" t="s">
        <v>192</v>
      </c>
    </row>
    <row r="20" spans="1:15" ht="15" thickBot="1">
      <c r="A20" s="7" t="s">
        <v>194</v>
      </c>
      <c r="B20" s="23">
        <f>IF(B18&gt;B19,(B18-B19)/B11,0)</f>
        <v>0</v>
      </c>
      <c r="D20" s="7" t="s">
        <v>182</v>
      </c>
      <c r="G20" s="7" t="s">
        <v>196</v>
      </c>
      <c r="I20" s="115">
        <f>Hoofdpagina!B42</f>
        <v>15</v>
      </c>
      <c r="J20" s="7" t="s">
        <v>154</v>
      </c>
      <c r="M20" s="8" t="s">
        <v>225</v>
      </c>
      <c r="N20" s="28">
        <f>B20*I20</f>
        <v>0</v>
      </c>
      <c r="O20" s="7" t="s">
        <v>52</v>
      </c>
    </row>
    <row r="21" spans="1:4" ht="15">
      <c r="A21" s="7" t="s">
        <v>195</v>
      </c>
      <c r="B21" s="23">
        <f>+IF(B10&gt;B20,B10-B20,0)</f>
        <v>406.1229372684</v>
      </c>
      <c r="D21" s="7" t="s">
        <v>182</v>
      </c>
    </row>
    <row r="23" ht="15">
      <c r="A23" s="9" t="s">
        <v>422</v>
      </c>
    </row>
    <row r="24" spans="1:4" ht="15">
      <c r="A24" s="7" t="s">
        <v>185</v>
      </c>
      <c r="B24" s="23">
        <f>IF(B14&gt;0,(B21-(B15*B25))/B14,0)</f>
        <v>23.28847765186083</v>
      </c>
      <c r="C24" s="34">
        <f>+IF(B14&gt;0,(B21/(B14+B15)),0)</f>
        <v>23.28847765186083</v>
      </c>
      <c r="D24" s="7" t="s">
        <v>187</v>
      </c>
    </row>
    <row r="25" spans="1:4" ht="15">
      <c r="A25" s="7" t="s">
        <v>186</v>
      </c>
      <c r="B25" s="74">
        <f>C25</f>
        <v>23.28847765186083</v>
      </c>
      <c r="C25" s="23">
        <f>C24</f>
        <v>23.28847765186083</v>
      </c>
      <c r="D25" s="7" t="s">
        <v>187</v>
      </c>
    </row>
    <row r="27" ht="15">
      <c r="A27" s="9" t="s">
        <v>197</v>
      </c>
    </row>
    <row r="28" spans="1:4" ht="15">
      <c r="A28" s="7" t="s">
        <v>198</v>
      </c>
      <c r="B28" s="38">
        <f>C28</f>
        <v>250</v>
      </c>
      <c r="C28" s="115">
        <f>VLOOKUP("*",Hoofdpagina!D54:M59,9,1)</f>
        <v>250</v>
      </c>
      <c r="D28" s="7" t="s">
        <v>191</v>
      </c>
    </row>
    <row r="29" spans="1:5" ht="15">
      <c r="A29" s="7" t="s">
        <v>201</v>
      </c>
      <c r="B29" s="38">
        <f>C29</f>
        <v>45</v>
      </c>
      <c r="C29" s="3">
        <v>45</v>
      </c>
      <c r="D29" s="7" t="s">
        <v>6</v>
      </c>
      <c r="E29" s="7" t="s">
        <v>433</v>
      </c>
    </row>
    <row r="30" spans="1:4" ht="15">
      <c r="A30" s="7" t="s">
        <v>210</v>
      </c>
      <c r="B30" s="23">
        <f>B28-(B24*B11*B29/100)</f>
        <v>203.88881424931554</v>
      </c>
      <c r="C30" s="11"/>
      <c r="D30" s="7" t="s">
        <v>191</v>
      </c>
    </row>
    <row r="32" spans="1:4" ht="15">
      <c r="A32" s="7" t="s">
        <v>199</v>
      </c>
      <c r="B32" s="38">
        <f>C32</f>
        <v>140</v>
      </c>
      <c r="C32" s="115">
        <f>IF(C17&gt;170,VLOOKUP("*",Hoofdpagina!D54:M59,10,1),VLOOKUP("*",Hoofdpagina!D54:N59,11,1))</f>
        <v>140</v>
      </c>
      <c r="D32" s="7" t="s">
        <v>191</v>
      </c>
    </row>
    <row r="33" spans="1:5" ht="15">
      <c r="A33" s="7" t="s">
        <v>202</v>
      </c>
      <c r="B33" s="38">
        <f>C33</f>
        <v>45</v>
      </c>
      <c r="C33" s="3">
        <v>45</v>
      </c>
      <c r="D33" s="7" t="s">
        <v>6</v>
      </c>
      <c r="E33" s="7" t="s">
        <v>434</v>
      </c>
    </row>
    <row r="34" spans="1:15" ht="15">
      <c r="A34" s="7" t="s">
        <v>210</v>
      </c>
      <c r="B34" s="23">
        <f>B32-(B25*B11*B33/100)</f>
        <v>93.88881424931554</v>
      </c>
      <c r="C34" s="11"/>
      <c r="D34" s="7" t="s">
        <v>191</v>
      </c>
      <c r="G34" s="7" t="s">
        <v>203</v>
      </c>
      <c r="I34" s="114">
        <v>0.93</v>
      </c>
      <c r="J34" s="7" t="s">
        <v>204</v>
      </c>
      <c r="M34" s="8" t="s">
        <v>226</v>
      </c>
      <c r="N34" s="23">
        <f>(B14*B30+B15*B34)*I34</f>
        <v>3255.534558001275</v>
      </c>
      <c r="O34" s="7" t="s">
        <v>52</v>
      </c>
    </row>
    <row r="35" spans="13:15" ht="15" thickBot="1">
      <c r="M35" s="8" t="s">
        <v>205</v>
      </c>
      <c r="N35" s="126">
        <f>VLOOKUP("*",Hoofdpagina!D54:J59,7,1)*B14*(Ruwvoer!B19/100)</f>
        <v>364.1840460033424</v>
      </c>
      <c r="O35" s="7" t="s">
        <v>52</v>
      </c>
    </row>
    <row r="36" spans="13:15" ht="15" thickBot="1">
      <c r="M36" s="8" t="s">
        <v>206</v>
      </c>
      <c r="N36" s="28">
        <f>SUM(N34:N35)</f>
        <v>3619.718604004617</v>
      </c>
      <c r="O36" s="7" t="s">
        <v>52</v>
      </c>
    </row>
    <row r="37" spans="1:13" ht="15">
      <c r="A37" s="10" t="s">
        <v>452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122"/>
    </row>
    <row r="38" spans="1:13" ht="15">
      <c r="A38" s="21" t="s">
        <v>453</v>
      </c>
      <c r="B38" s="125">
        <f>C38</f>
        <v>1071.8262</v>
      </c>
      <c r="C38" s="124">
        <f>B3*9.6+B6*21.9</f>
        <v>1071.8262</v>
      </c>
      <c r="D38" s="21" t="s">
        <v>454</v>
      </c>
      <c r="E38" s="21"/>
      <c r="F38" s="21"/>
      <c r="G38" s="21"/>
      <c r="H38" s="21"/>
      <c r="I38" s="21"/>
      <c r="J38" s="21"/>
      <c r="K38" s="21"/>
      <c r="L38" s="21"/>
      <c r="M38" s="122"/>
    </row>
    <row r="39" spans="1:13" ht="15">
      <c r="A39" s="21" t="s">
        <v>461</v>
      </c>
      <c r="B39" s="125">
        <f>C39</f>
        <v>1071.8262</v>
      </c>
      <c r="C39" s="124">
        <f>C38</f>
        <v>1071.8262</v>
      </c>
      <c r="D39" s="21" t="s">
        <v>462</v>
      </c>
      <c r="E39" s="21"/>
      <c r="F39" s="21"/>
      <c r="G39" s="21" t="s">
        <v>463</v>
      </c>
      <c r="H39" s="21"/>
      <c r="I39" s="21"/>
      <c r="J39" s="21"/>
      <c r="K39" s="21"/>
      <c r="L39" s="21"/>
      <c r="M39" s="122"/>
    </row>
    <row r="40" spans="1:13" ht="15" thickBot="1">
      <c r="A40" s="21" t="s">
        <v>464</v>
      </c>
      <c r="B40" s="125">
        <v>150</v>
      </c>
      <c r="C40" s="124">
        <v>150</v>
      </c>
      <c r="D40" s="21" t="s">
        <v>455</v>
      </c>
      <c r="E40" s="21"/>
      <c r="F40" s="21"/>
      <c r="G40" s="21" t="s">
        <v>465</v>
      </c>
      <c r="H40" s="21"/>
      <c r="I40" s="21"/>
      <c r="J40" s="21"/>
      <c r="K40" s="21"/>
      <c r="L40" s="21"/>
      <c r="M40" s="122"/>
    </row>
    <row r="41" spans="1:15" ht="15" thickBot="1">
      <c r="A41" s="21" t="s">
        <v>466</v>
      </c>
      <c r="B41" s="124">
        <f>IF(B38&gt;B39,(B38-B39)*B40,0)</f>
        <v>0</v>
      </c>
      <c r="C41" s="21"/>
      <c r="D41" s="21" t="s">
        <v>52</v>
      </c>
      <c r="E41" s="21"/>
      <c r="F41" s="21"/>
      <c r="G41" s="21"/>
      <c r="H41" s="21"/>
      <c r="I41" s="21"/>
      <c r="J41" s="21"/>
      <c r="K41" s="21"/>
      <c r="L41" s="21"/>
      <c r="M41" s="122" t="s">
        <v>459</v>
      </c>
      <c r="N41" s="28">
        <f>((B41/2)*Hoofdpagina!B12/100)+(B41*0.1)</f>
        <v>0</v>
      </c>
      <c r="O41" s="7" t="s">
        <v>52</v>
      </c>
    </row>
    <row r="45" ht="15" hidden="1" thickBot="1">
      <c r="F45" s="110">
        <v>1</v>
      </c>
    </row>
    <row r="46" spans="1:8" ht="15" hidden="1" thickBot="1">
      <c r="A46" s="18" t="s">
        <v>444</v>
      </c>
      <c r="B46" s="18">
        <f>IF(F45&lt;3,VLOOKUP("*",Hoofdpagina!D54:O59,12,TRUE),250)</f>
        <v>230</v>
      </c>
      <c r="C46" s="108">
        <f>IF(B15/(B14+B15)&lt;0.2,B46,170)</f>
        <v>230</v>
      </c>
      <c r="D46" s="18"/>
      <c r="E46" s="18">
        <v>1</v>
      </c>
      <c r="F46" s="18" t="s">
        <v>442</v>
      </c>
      <c r="G46" s="18"/>
      <c r="H46" s="18"/>
    </row>
    <row r="47" spans="1:8" ht="15" hidden="1" thickBot="1">
      <c r="A47" s="18" t="s">
        <v>447</v>
      </c>
      <c r="B47" s="18"/>
      <c r="C47" s="109">
        <v>112</v>
      </c>
      <c r="D47" s="18"/>
      <c r="E47" s="18">
        <v>2</v>
      </c>
      <c r="F47" s="18" t="s">
        <v>443</v>
      </c>
      <c r="G47" s="18"/>
      <c r="H47" s="18"/>
    </row>
    <row r="48" spans="1:8" ht="15" hidden="1">
      <c r="A48" s="18"/>
      <c r="B48" s="18"/>
      <c r="C48" s="18"/>
      <c r="D48" s="18"/>
      <c r="E48" s="18">
        <v>3</v>
      </c>
      <c r="F48" s="18" t="s">
        <v>439</v>
      </c>
      <c r="G48" s="18"/>
      <c r="H48" s="18"/>
    </row>
  </sheetData>
  <sheetProtection sheet="1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3"/>
  <headerFooter>
    <oddHeader>&amp;C&amp;A</oddHeader>
  </headerFooter>
  <ignoredErrors>
    <ignoredError sqref="B17:B23 B25:B33 B4:B14" unlockedFormula="1"/>
  </ignoredErrors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2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2.7109375" style="7" customWidth="1"/>
    <col min="2" max="3" width="12.00390625" style="7" customWidth="1"/>
    <col min="4" max="4" width="4.28125" style="7" customWidth="1"/>
    <col min="5" max="5" width="11.421875" style="7" customWidth="1"/>
    <col min="6" max="6" width="9.421875" style="7" bestFit="1" customWidth="1"/>
    <col min="7" max="16384" width="9.140625" style="7" customWidth="1"/>
  </cols>
  <sheetData>
    <row r="1" ht="15">
      <c r="A1" s="9" t="s">
        <v>337</v>
      </c>
    </row>
    <row r="2" spans="2:3" ht="15">
      <c r="B2" s="8" t="s">
        <v>84</v>
      </c>
      <c r="C2" s="8" t="s">
        <v>75</v>
      </c>
    </row>
    <row r="3" spans="1:4" ht="15">
      <c r="A3" s="7" t="s">
        <v>268</v>
      </c>
      <c r="B3" s="38">
        <v>0</v>
      </c>
      <c r="C3" s="115">
        <v>7500</v>
      </c>
      <c r="D3" s="7" t="s">
        <v>52</v>
      </c>
    </row>
    <row r="4" spans="1:4" ht="15">
      <c r="A4" s="7" t="s">
        <v>272</v>
      </c>
      <c r="B4" s="38">
        <v>0</v>
      </c>
      <c r="C4" s="115">
        <v>5500</v>
      </c>
      <c r="D4" s="7" t="s">
        <v>52</v>
      </c>
    </row>
    <row r="5" spans="1:4" ht="15">
      <c r="A5" s="7" t="s">
        <v>273</v>
      </c>
      <c r="B5" s="38">
        <v>0</v>
      </c>
      <c r="C5" s="115">
        <v>7000</v>
      </c>
      <c r="D5" s="7" t="s">
        <v>52</v>
      </c>
    </row>
    <row r="6" spans="1:4" ht="15">
      <c r="A6" s="7" t="s">
        <v>338</v>
      </c>
      <c r="B6" s="38">
        <v>0</v>
      </c>
      <c r="D6" s="7" t="s">
        <v>52</v>
      </c>
    </row>
    <row r="7" spans="1:4" ht="15">
      <c r="A7" s="7" t="s">
        <v>339</v>
      </c>
      <c r="B7" s="3">
        <f>B3+B4+B5+B6</f>
        <v>0</v>
      </c>
      <c r="D7" s="7" t="s">
        <v>52</v>
      </c>
    </row>
    <row r="8" spans="1:8" ht="15">
      <c r="A8" s="7" t="s">
        <v>239</v>
      </c>
      <c r="B8" s="3">
        <f>Hoofdpagina!B12</f>
        <v>3.5</v>
      </c>
      <c r="D8" s="7" t="s">
        <v>6</v>
      </c>
      <c r="E8" s="7" t="s">
        <v>264</v>
      </c>
      <c r="G8" s="23">
        <f>(B7*B8/100)*0.55</f>
        <v>0</v>
      </c>
      <c r="H8" s="7" t="s">
        <v>52</v>
      </c>
    </row>
    <row r="9" spans="1:8" ht="15">
      <c r="A9" s="7" t="s">
        <v>262</v>
      </c>
      <c r="B9" s="38">
        <f>C9</f>
        <v>10</v>
      </c>
      <c r="C9" s="3">
        <v>10</v>
      </c>
      <c r="D9" s="7" t="s">
        <v>6</v>
      </c>
      <c r="E9" s="7" t="s">
        <v>265</v>
      </c>
      <c r="G9" s="3">
        <f>B7*B9/100</f>
        <v>0</v>
      </c>
      <c r="H9" s="7" t="s">
        <v>52</v>
      </c>
    </row>
    <row r="10" spans="1:8" ht="15" thickBot="1">
      <c r="A10" s="7" t="s">
        <v>275</v>
      </c>
      <c r="B10" s="38">
        <f>C10</f>
        <v>10</v>
      </c>
      <c r="C10" s="3">
        <v>10</v>
      </c>
      <c r="D10" s="7" t="s">
        <v>6</v>
      </c>
      <c r="E10" s="7" t="s">
        <v>266</v>
      </c>
      <c r="G10" s="3">
        <f>B3*B10/100</f>
        <v>0</v>
      </c>
      <c r="H10" s="7" t="s">
        <v>52</v>
      </c>
    </row>
    <row r="11" spans="1:13" ht="15" thickBot="1">
      <c r="A11" s="7" t="s">
        <v>340</v>
      </c>
      <c r="B11" s="38">
        <f>C11</f>
        <v>2</v>
      </c>
      <c r="C11" s="3">
        <v>2</v>
      </c>
      <c r="D11" s="7" t="s">
        <v>6</v>
      </c>
      <c r="E11" s="7" t="s">
        <v>266</v>
      </c>
      <c r="G11" s="3">
        <f>(B7-B3)*B11/100</f>
        <v>0</v>
      </c>
      <c r="H11" s="7" t="s">
        <v>52</v>
      </c>
      <c r="K11" s="8" t="s">
        <v>276</v>
      </c>
      <c r="L11" s="28">
        <f>G8+G9+G10+G11</f>
        <v>0</v>
      </c>
      <c r="M11" s="7" t="s">
        <v>52</v>
      </c>
    </row>
    <row r="13" spans="1:6" ht="15">
      <c r="A13" s="9" t="s">
        <v>308</v>
      </c>
      <c r="B13" s="81" t="s">
        <v>90</v>
      </c>
      <c r="C13" s="81" t="s">
        <v>75</v>
      </c>
      <c r="E13" s="82" t="s">
        <v>92</v>
      </c>
      <c r="F13" s="82" t="s">
        <v>75</v>
      </c>
    </row>
    <row r="14" spans="1:7" ht="15">
      <c r="A14" s="7" t="s">
        <v>277</v>
      </c>
      <c r="B14" s="16">
        <f>'Algemeen en dieraantallen'!B8</f>
        <v>30.906</v>
      </c>
      <c r="E14" s="16">
        <f>'Algemeen en dieraantallen'!B11</f>
        <v>35.394</v>
      </c>
      <c r="G14" s="7" t="s">
        <v>44</v>
      </c>
    </row>
    <row r="15" spans="1:7" ht="15">
      <c r="A15" s="7" t="s">
        <v>278</v>
      </c>
      <c r="B15" s="74">
        <f>C15</f>
        <v>73.44295890410959</v>
      </c>
      <c r="C15" s="23">
        <f>((45+'Algemeen en dieraantallen'!B8*13)/365)*60</f>
        <v>73.44295890410959</v>
      </c>
      <c r="E15" s="74">
        <f>F15</f>
        <v>33.135780821917805</v>
      </c>
      <c r="F15" s="23">
        <f>((60+'Algemeen en dieraantallen'!B11*4)/365)*60</f>
        <v>33.135780821917805</v>
      </c>
      <c r="G15" s="7" t="s">
        <v>423</v>
      </c>
    </row>
    <row r="16" spans="1:7" ht="15">
      <c r="A16" s="7" t="s">
        <v>424</v>
      </c>
      <c r="B16" s="74">
        <f>C16</f>
        <v>0</v>
      </c>
      <c r="C16" s="23">
        <f>IF(B3&gt;0,((0.5*'Algemeen en dieraantallen'!B8)/365)*60,0)</f>
        <v>0</v>
      </c>
      <c r="E16" s="74">
        <f>F16</f>
        <v>0</v>
      </c>
      <c r="F16" s="23">
        <f>IF(B3&gt;0,((0.5*'Algemeen en dieraantallen'!B11)/365)*60,0)</f>
        <v>0</v>
      </c>
      <c r="G16" s="7" t="s">
        <v>423</v>
      </c>
    </row>
    <row r="17" spans="1:7" ht="15">
      <c r="A17" s="7" t="s">
        <v>425</v>
      </c>
      <c r="B17" s="74">
        <f>C17</f>
        <v>0</v>
      </c>
      <c r="C17" s="23">
        <f>IF(B4&gt;0,((3*'Algemeen en dieraantallen'!B8)/365)*60,0)</f>
        <v>0</v>
      </c>
      <c r="G17" s="7" t="s">
        <v>423</v>
      </c>
    </row>
    <row r="18" spans="1:7" ht="15">
      <c r="A18" s="7" t="s">
        <v>426</v>
      </c>
      <c r="B18" s="74">
        <f>C18</f>
        <v>0</v>
      </c>
      <c r="C18" s="23">
        <f>IF(B5&gt;0,((1*'Algemeen en dieraantallen'!B8)/365)*60,0)</f>
        <v>0</v>
      </c>
      <c r="E18" s="38">
        <f>F18</f>
        <v>0</v>
      </c>
      <c r="F18" s="3">
        <v>0</v>
      </c>
      <c r="G18" s="7" t="s">
        <v>423</v>
      </c>
    </row>
    <row r="19" spans="1:7" ht="15">
      <c r="A19" s="7" t="s">
        <v>427</v>
      </c>
      <c r="B19" s="38">
        <v>0</v>
      </c>
      <c r="C19" s="3">
        <v>0</v>
      </c>
      <c r="E19" s="38">
        <f>F19</f>
        <v>0</v>
      </c>
      <c r="F19" s="3">
        <v>0</v>
      </c>
      <c r="G19" s="7" t="s">
        <v>423</v>
      </c>
    </row>
    <row r="20" spans="1:7" ht="15" thickBot="1">
      <c r="A20" s="7" t="s">
        <v>363</v>
      </c>
      <c r="B20" s="23">
        <f>B15-B16-B17-B18-B19</f>
        <v>73.44295890410959</v>
      </c>
      <c r="E20" s="23">
        <f>E15-E16-E18-E19</f>
        <v>33.135780821917805</v>
      </c>
      <c r="G20" s="7" t="s">
        <v>423</v>
      </c>
    </row>
    <row r="21" spans="1:13" ht="15" thickBot="1">
      <c r="A21" s="7" t="s">
        <v>280</v>
      </c>
      <c r="B21" s="23">
        <f>(B20/60)*365</f>
        <v>446.778</v>
      </c>
      <c r="E21" s="23">
        <f>(E20/60)*365</f>
        <v>201.57599999999996</v>
      </c>
      <c r="G21" s="7" t="s">
        <v>279</v>
      </c>
      <c r="K21" s="8" t="s">
        <v>362</v>
      </c>
      <c r="L21" s="28">
        <f>B21+E21</f>
        <v>648.354</v>
      </c>
      <c r="M21" s="7" t="s">
        <v>314</v>
      </c>
    </row>
    <row r="23" spans="1:5" ht="15">
      <c r="A23" s="9" t="s">
        <v>310</v>
      </c>
      <c r="B23" s="8" t="s">
        <v>364</v>
      </c>
      <c r="C23" s="8" t="s">
        <v>84</v>
      </c>
      <c r="E23" s="8" t="s">
        <v>75</v>
      </c>
    </row>
    <row r="24" spans="1:6" ht="15">
      <c r="A24" s="7" t="s">
        <v>138</v>
      </c>
      <c r="C24" s="22">
        <f>Ruwvoer!K10</f>
        <v>42.06607748440495</v>
      </c>
      <c r="F24" s="7" t="s">
        <v>139</v>
      </c>
    </row>
    <row r="25" spans="1:6" ht="15">
      <c r="A25" s="7" t="s">
        <v>149</v>
      </c>
      <c r="B25" s="5" t="str">
        <f>IF(Ruwvoer!B26&gt;0,"Ja","Nee")</f>
        <v>Ja</v>
      </c>
      <c r="C25" s="38">
        <f>IF(B25="ja",0,D25)</f>
        <v>0</v>
      </c>
      <c r="D25" s="142">
        <v>0.5</v>
      </c>
      <c r="E25" s="143"/>
      <c r="F25" s="7" t="s">
        <v>311</v>
      </c>
    </row>
    <row r="26" spans="1:6" ht="15">
      <c r="A26" s="7" t="s">
        <v>150</v>
      </c>
      <c r="B26" s="5" t="str">
        <f>IF(Ruwvoer!B27&gt;0,"Ja","Nee")</f>
        <v>Nee</v>
      </c>
      <c r="C26" s="38">
        <f>IF(B26="ja",0,D26)</f>
        <v>0.6</v>
      </c>
      <c r="D26" s="142">
        <v>0.6</v>
      </c>
      <c r="E26" s="143"/>
      <c r="F26" s="7" t="s">
        <v>315</v>
      </c>
    </row>
    <row r="27" spans="1:6" ht="15">
      <c r="A27" s="7" t="s">
        <v>151</v>
      </c>
      <c r="B27" s="5" t="str">
        <f>IF(Ruwvoer!B28&gt;0,"Ja","Nee")</f>
        <v>Ja</v>
      </c>
      <c r="C27" s="38">
        <f>IF(B27="ja",0,D27)</f>
        <v>0</v>
      </c>
      <c r="D27" s="142">
        <v>0.4</v>
      </c>
      <c r="E27" s="143"/>
      <c r="F27" s="7" t="s">
        <v>311</v>
      </c>
    </row>
    <row r="28" spans="1:6" ht="15">
      <c r="A28" s="7" t="s">
        <v>155</v>
      </c>
      <c r="B28" s="5" t="str">
        <f>IF(Ruwvoer!B29&gt;0,"Ja","Nee")</f>
        <v>Ja</v>
      </c>
      <c r="C28" s="38">
        <f>IF(B28="ja",0,D28)</f>
        <v>0</v>
      </c>
      <c r="D28" s="142">
        <v>1</v>
      </c>
      <c r="E28" s="143"/>
      <c r="F28" s="7" t="s">
        <v>311</v>
      </c>
    </row>
    <row r="29" spans="1:6" ht="15">
      <c r="A29" s="7" t="s">
        <v>309</v>
      </c>
      <c r="B29" s="5" t="str">
        <f>IF(Ruwvoer!B30&gt;0,"Ja","Nee")</f>
        <v>Ja</v>
      </c>
      <c r="C29" s="38">
        <f>IF(B29="ja",0,D29)</f>
        <v>0</v>
      </c>
      <c r="D29" s="142">
        <v>1</v>
      </c>
      <c r="E29" s="143"/>
      <c r="F29" s="7" t="s">
        <v>312</v>
      </c>
    </row>
    <row r="30" spans="1:6" ht="15" thickBot="1">
      <c r="A30" s="7" t="s">
        <v>313</v>
      </c>
      <c r="C30" s="23">
        <f>(SUM(C25:C29))*C24</f>
        <v>25.23964649064297</v>
      </c>
      <c r="F30" s="7" t="s">
        <v>314</v>
      </c>
    </row>
    <row r="31" spans="1:13" ht="15" thickBot="1">
      <c r="A31" s="7" t="s">
        <v>282</v>
      </c>
      <c r="B31" s="115">
        <f>Hoofdpagina!B45</f>
        <v>27</v>
      </c>
      <c r="F31" s="7" t="s">
        <v>283</v>
      </c>
      <c r="K31" s="8" t="s">
        <v>281</v>
      </c>
      <c r="L31" s="28">
        <f>(B21+E21+C30)*B31</f>
        <v>18187.02845524736</v>
      </c>
      <c r="M31" s="7" t="s">
        <v>52</v>
      </c>
    </row>
    <row r="32" ht="15">
      <c r="A32" s="13" t="s">
        <v>365</v>
      </c>
    </row>
  </sheetData>
  <sheetProtection sheet="1" objects="1" scenarios="1"/>
  <mergeCells count="5">
    <mergeCell ref="D25:E25"/>
    <mergeCell ref="D26:E26"/>
    <mergeCell ref="D27:E27"/>
    <mergeCell ref="D28:E28"/>
    <mergeCell ref="D29:E29"/>
  </mergeCells>
  <hyperlinks>
    <hyperlink ref="A32" location="Ruwvoer!A1" display="* antwoord hangt af van invoer op pagina &quot;Ruwvoer&quot;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2"/>
  <headerFooter>
    <oddHeader>&amp;C&amp;A</oddHeader>
  </headerFooter>
  <ignoredErrors>
    <ignoredError sqref="B9:E12 B22:E22 B16:B18 B24:C29 C23 B14:C14 B19:C19 C21 C20 B1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Wageningen 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Evers, Aart</dc:creator>
  <cp:keywords/>
  <dc:description/>
  <cp:lastModifiedBy>Evers, Aart</cp:lastModifiedBy>
  <cp:lastPrinted>2012-08-21T12:07:18Z</cp:lastPrinted>
  <dcterms:created xsi:type="dcterms:W3CDTF">2011-03-03T09:11:17Z</dcterms:created>
  <dcterms:modified xsi:type="dcterms:W3CDTF">2019-10-08T07:08:39Z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