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11640" activeTab="0"/>
  </bookViews>
  <sheets>
    <sheet name="Invoer" sheetId="1" r:id="rId1"/>
    <sheet name="Hulpwerkblad" sheetId="2" r:id="rId2"/>
    <sheet name="Kenmerken mestscheider" sheetId="3" r:id="rId3"/>
    <sheet name="Uitgebreide technische uitvoer" sheetId="4" r:id="rId4"/>
    <sheet name="rekenblad 1" sheetId="5" state="hidden" r:id="rId5"/>
    <sheet name="rekenblad 2" sheetId="6" state="hidden" r:id="rId6"/>
  </sheets>
  <definedNames>
    <definedName name="_xlnm.Print_Area" localSheetId="0">'Invoer'!$A$1:$L$48</definedName>
  </definedNames>
  <calcPr fullCalcOnLoad="1"/>
</workbook>
</file>

<file path=xl/sharedStrings.xml><?xml version="1.0" encoding="utf-8"?>
<sst xmlns="http://schemas.openxmlformats.org/spreadsheetml/2006/main" count="419" uniqueCount="287">
  <si>
    <t xml:space="preserve">Melkproductie </t>
  </si>
  <si>
    <t xml:space="preserve">per koe (kg) </t>
  </si>
  <si>
    <t>Ureumgehalte (mg/100 g)</t>
  </si>
  <si>
    <t>&lt; 5625</t>
  </si>
  <si>
    <t xml:space="preserve">5625 - 5874 </t>
  </si>
  <si>
    <t xml:space="preserve">5875 - 6124 </t>
  </si>
  <si>
    <t xml:space="preserve">6125 - 6374 </t>
  </si>
  <si>
    <t xml:space="preserve">6375 - 6624 </t>
  </si>
  <si>
    <t>6625 – 6874</t>
  </si>
  <si>
    <t>6875 – 7124</t>
  </si>
  <si>
    <t>7125 – 7374</t>
  </si>
  <si>
    <t>7375 – 7624</t>
  </si>
  <si>
    <t>7625 – 7874</t>
  </si>
  <si>
    <t>7875 – 8124</t>
  </si>
  <si>
    <t>8125 – 8374</t>
  </si>
  <si>
    <t>8375 – 8624</t>
  </si>
  <si>
    <t>8625 – 8874</t>
  </si>
  <si>
    <t>8875 – 9124</t>
  </si>
  <si>
    <t>9125 – 9374</t>
  </si>
  <si>
    <t>9375 – 9624</t>
  </si>
  <si>
    <t>9625 – 9874</t>
  </si>
  <si>
    <t>9875 – 10124</t>
  </si>
  <si>
    <t>10125 – 10374</t>
  </si>
  <si>
    <t>10375 – 10624</t>
  </si>
  <si>
    <t>&gt; 10624</t>
  </si>
  <si>
    <t>Fosfaat-</t>
  </si>
  <si>
    <t>excretie</t>
  </si>
  <si>
    <t>max</t>
  </si>
  <si>
    <t>N</t>
  </si>
  <si>
    <t>P2O5</t>
  </si>
  <si>
    <t>koe</t>
  </si>
  <si>
    <t>kalf</t>
  </si>
  <si>
    <t>pink</t>
  </si>
  <si>
    <t>waar?</t>
  </si>
  <si>
    <t>melk</t>
  </si>
  <si>
    <t>ureum</t>
  </si>
  <si>
    <t>Laag</t>
  </si>
  <si>
    <t>Neutraal</t>
  </si>
  <si>
    <t>Hoog</t>
  </si>
  <si>
    <t>grasland</t>
  </si>
  <si>
    <t>maisland</t>
  </si>
  <si>
    <t>jaar</t>
  </si>
  <si>
    <t>maïsland</t>
  </si>
  <si>
    <t>P2O5:</t>
  </si>
  <si>
    <t>norm grasland (gewogen)</t>
  </si>
  <si>
    <t>norm maïsland (gewogen)</t>
  </si>
  <si>
    <t>N:</t>
  </si>
  <si>
    <t>% grasland</t>
  </si>
  <si>
    <t>norm bedrijf</t>
  </si>
  <si>
    <t>Grasland:</t>
  </si>
  <si>
    <t>Midden</t>
  </si>
  <si>
    <t>Totaal</t>
  </si>
  <si>
    <t>Bouwland:</t>
  </si>
  <si>
    <t>derogatie:</t>
  </si>
  <si>
    <t>geen derogatie</t>
  </si>
  <si>
    <t>Bedrijfsopzet</t>
  </si>
  <si>
    <t>INVOER</t>
  </si>
  <si>
    <t>Resultaat</t>
  </si>
  <si>
    <t>UITVOER</t>
  </si>
  <si>
    <t>Algemeen</t>
  </si>
  <si>
    <t>Plaatsingsruimte N</t>
  </si>
  <si>
    <t xml:space="preserve"> kg N</t>
  </si>
  <si>
    <t>Jaar (2009-2015)</t>
  </si>
  <si>
    <t>Plaatsingsruimte P2O5</t>
  </si>
  <si>
    <t xml:space="preserve"> kg P2O5</t>
  </si>
  <si>
    <t>Aantal koeien</t>
  </si>
  <si>
    <t>Ha gras fosfaat Laag</t>
  </si>
  <si>
    <t>Afwijking N-productie van plaatsing</t>
  </si>
  <si>
    <t>Ha gras fosfaat Midden</t>
  </si>
  <si>
    <t>Afwijking P2O5-productie van plaatsing</t>
  </si>
  <si>
    <t>Ha gras fosfaat Hoog</t>
  </si>
  <si>
    <t>Ha gras TOTAAL</t>
  </si>
  <si>
    <t>Ha bouwland fosfaat Laag</t>
  </si>
  <si>
    <t>Mestafvoer op basis van:</t>
  </si>
  <si>
    <t>Ha bouwland fosfaat Midden</t>
  </si>
  <si>
    <t>Ha bouwland fosfaat Hoog</t>
  </si>
  <si>
    <t>Ha bouwland TOTAAL</t>
  </si>
  <si>
    <t>Mest</t>
  </si>
  <si>
    <t>P2O5-gehalte in de mest</t>
  </si>
  <si>
    <t>N-gehalte in de mest</t>
  </si>
  <si>
    <t>Prijs kunstmest € per kg N</t>
  </si>
  <si>
    <t>Inschatting reductie N-excretie bij BEX</t>
  </si>
  <si>
    <t>Inschatting reductie P2O5-excretie bij BEX</t>
  </si>
  <si>
    <t>Aantal pinken</t>
  </si>
  <si>
    <t>Aantal kalveren</t>
  </si>
  <si>
    <t>Melk per koe</t>
  </si>
  <si>
    <t>Afvoer mest uitgangssituatie</t>
  </si>
  <si>
    <t>mestafvoer op basis van N</t>
  </si>
  <si>
    <t>mestafvoer op basis van P</t>
  </si>
  <si>
    <t>uiteindelijke mestafvoer</t>
  </si>
  <si>
    <t>hulpfunctie fosfaat of stikstof?</t>
  </si>
  <si>
    <t>Mestscheiding</t>
  </si>
  <si>
    <t>Type mestscheider</t>
  </si>
  <si>
    <t>Zeefscherm of trommelscheider</t>
  </si>
  <si>
    <t>Vijzelpers of schroefpersfilter</t>
  </si>
  <si>
    <t>Zeefbandpers</t>
  </si>
  <si>
    <t>Centrifuge</t>
  </si>
  <si>
    <t>Type</t>
  </si>
  <si>
    <t>mestproductie in stal</t>
  </si>
  <si>
    <t>per 6 maanden</t>
  </si>
  <si>
    <t>per jaar</t>
  </si>
  <si>
    <t>m³ per jaar bij hele jaar op stal</t>
  </si>
  <si>
    <t>Inschatting hoeveelheid mest in de put</t>
  </si>
  <si>
    <t>% jaarkosten</t>
  </si>
  <si>
    <t>Percentage afschrijving, rente en onderhoud</t>
  </si>
  <si>
    <t>Kg dikke fractie na scheiding per ton drijfmest</t>
  </si>
  <si>
    <t>Percentage N na scheiding in dikke fractie</t>
  </si>
  <si>
    <t>Percentage P2O5 na scheiding in dikke fractie</t>
  </si>
  <si>
    <t>Kosten toevoegmiddel (€ per ton gescheiden mest)</t>
  </si>
  <si>
    <t>Kosten energie (€ per ton gescheiden mest)</t>
  </si>
  <si>
    <t>Resultaat per gescheiden m³ mest:</t>
  </si>
  <si>
    <t>Dikke fractie:</t>
  </si>
  <si>
    <t>Hoeveelheid (kg)</t>
  </si>
  <si>
    <t>Kg N</t>
  </si>
  <si>
    <t>Kg P2O5</t>
  </si>
  <si>
    <t>Dunne fractie:</t>
  </si>
  <si>
    <t>N-gehalte</t>
  </si>
  <si>
    <t>P2O5-gehalte</t>
  </si>
  <si>
    <t>ton</t>
  </si>
  <si>
    <t>Benodigde hoeveelheid te scheiden mest obv N</t>
  </si>
  <si>
    <t>Benodigde hoeveelheid te scheiden mest obv P2O5</t>
  </si>
  <si>
    <t>Te scheiden mest:</t>
  </si>
  <si>
    <t>Aanwezige mest</t>
  </si>
  <si>
    <t>Werkelijk gescheiden mest</t>
  </si>
  <si>
    <t>Afvoer met dikke fractie:</t>
  </si>
  <si>
    <t>Afvoer met dunne fractie</t>
  </si>
  <si>
    <t>op basis van N</t>
  </si>
  <si>
    <t>op basis van P2O5</t>
  </si>
  <si>
    <t>Uiteindelijke afvoer met dunne fractie</t>
  </si>
  <si>
    <t>kg N</t>
  </si>
  <si>
    <t>kg P2O5</t>
  </si>
  <si>
    <t>Hoeveelheid</t>
  </si>
  <si>
    <t>Aanwending met dunne fractie</t>
  </si>
  <si>
    <t>Aanwending met drijfmest</t>
  </si>
  <si>
    <t>Gemiddelde werking N drijfmest</t>
  </si>
  <si>
    <t>(gekozen type mestscheider)</t>
  </si>
  <si>
    <t>Werkzame N bij drijfmest toegediend</t>
  </si>
  <si>
    <t>Werkzame N na mestscheiding</t>
  </si>
  <si>
    <t>bespraring kunstmeststikstof</t>
  </si>
  <si>
    <t>Na mestscheiding</t>
  </si>
  <si>
    <t>Gescheiden hoeveelheid drijfmest</t>
  </si>
  <si>
    <t>Toegediende hoeveelheid dunne fractie</t>
  </si>
  <si>
    <t>Toegediende hoeveelheid drijfmest</t>
  </si>
  <si>
    <t>Afvoer dikke fractie</t>
  </si>
  <si>
    <t>Afvoer dunne fractie</t>
  </si>
  <si>
    <t>Kostenvergelijking:</t>
  </si>
  <si>
    <t>Prijs afzet dunne fractie (€ per ton)</t>
  </si>
  <si>
    <t>Prijs afzet dikke fractie (€ per ton)</t>
  </si>
  <si>
    <t>Prijs afzet drijfmest (€ per ton)</t>
  </si>
  <si>
    <t>Economisch effect mestscheiding</t>
  </si>
  <si>
    <t>zelf</t>
  </si>
  <si>
    <t>loonwerker</t>
  </si>
  <si>
    <t>keuze zelf of loonwerker</t>
  </si>
  <si>
    <t>Mest scheiden zelf of door loonwerker?</t>
  </si>
  <si>
    <t>Loonwerkkosten mest uitrijden (€ per ton)</t>
  </si>
  <si>
    <t>euro</t>
  </si>
  <si>
    <t>Geschatte excretie N bij BEX (kg N op bedrijfsniveau)</t>
  </si>
  <si>
    <t>Geschatte excretie P2O5 bij BEX (kg P2O5 op bedrijfsniveau)</t>
  </si>
  <si>
    <t>1. Hulp bij berekenen excretie</t>
  </si>
  <si>
    <t>2. Hulp bij berekenen mestproductie in de put</t>
  </si>
  <si>
    <t>Kosten afvoer drijfmest uitgangssituatie (A)</t>
  </si>
  <si>
    <t>Rente, aflossing en onderhoud mestscheider (+)</t>
  </si>
  <si>
    <t>Kosten toevoegmiddel (+)</t>
  </si>
  <si>
    <t>Kosten energie (+)</t>
  </si>
  <si>
    <t>Loonwerk mest scheiden (+)</t>
  </si>
  <si>
    <t>Extra arbeid zelf mest scheiden (+)</t>
  </si>
  <si>
    <t>Extra kosten mest uitrijden (+)</t>
  </si>
  <si>
    <t>Kosten afvoer dikke fractie (+)</t>
  </si>
  <si>
    <t>Kosten afvoer dunne fractie (+)</t>
  </si>
  <si>
    <t>Vergelijkbare kosten mestscheiding (B)</t>
  </si>
  <si>
    <t>Voordeel mest scheiden (A - B)</t>
  </si>
  <si>
    <t>Hulpkolom</t>
  </si>
  <si>
    <t>Forfaitaire N-excretie (kg N op bedrijfsniveau o.b.v. aantal dieren)</t>
  </si>
  <si>
    <t>Forfaitaire P2O5-excretie (kg P2O5 op bedrijfsniveau o.b.v. aantal dieren)</t>
  </si>
  <si>
    <r>
      <t xml:space="preserve">Mestproductie als dieren hele jaar op stal </t>
    </r>
    <r>
      <rPr>
        <sz val="8"/>
        <rFont val="Arial"/>
        <family val="2"/>
      </rPr>
      <t>(basis: tabellenbrochure LNV en aantal dieren)</t>
    </r>
  </si>
  <si>
    <t>Hoeveel uur weiden de koeien per weidedag?</t>
  </si>
  <si>
    <t>Hoeveel dagen lopen de pinken per jaar in de wei?</t>
  </si>
  <si>
    <t>Hoeveel dagen lopen de koeien per jaar in de wei?</t>
  </si>
  <si>
    <t>Hoeveel uur weiden de pinken per weidedag?</t>
  </si>
  <si>
    <t>Hoeveel dagen lopen de kalveren per jaar in de wei?</t>
  </si>
  <si>
    <t>Hoeveel uur weiden de kalveren per weidedag?</t>
  </si>
  <si>
    <t>Vul alle gele cellen in en ga terug na invulblad door op link te klikken</t>
  </si>
  <si>
    <t>Mestscheidingswijzer</t>
  </si>
  <si>
    <t>Vul alleen alle gele cellen in!!!</t>
  </si>
  <si>
    <t>Extra uur arbeid bij zelf mest scheiden per jaar</t>
  </si>
  <si>
    <t>Investering mestscheider</t>
  </si>
  <si>
    <t>Werkingscoëfficiënt stikstof in dunne fractie</t>
  </si>
  <si>
    <r>
      <t xml:space="preserve">Mest in de put per jaar </t>
    </r>
    <r>
      <rPr>
        <sz val="8"/>
        <rFont val="Arial"/>
        <family val="2"/>
      </rPr>
      <t>(als niet bekend, klik op HELP)</t>
    </r>
  </si>
  <si>
    <r>
      <t>P</t>
    </r>
    <r>
      <rPr>
        <vertAlign val="subscript"/>
        <sz val="10"/>
        <rFont val="Arial"/>
        <family val="2"/>
      </rPr>
      <t>2</t>
    </r>
    <r>
      <rPr>
        <sz val="10"/>
        <rFont val="Arial"/>
        <family val="0"/>
      </rPr>
      <t>O</t>
    </r>
    <r>
      <rPr>
        <vertAlign val="subscript"/>
        <sz val="10"/>
        <rFont val="Arial"/>
        <family val="2"/>
      </rPr>
      <t>5</t>
    </r>
    <r>
      <rPr>
        <sz val="10"/>
        <rFont val="Arial"/>
        <family val="0"/>
      </rPr>
      <t>-excretie veestapel</t>
    </r>
    <r>
      <rPr>
        <sz val="8"/>
        <rFont val="Arial"/>
        <family val="2"/>
      </rPr>
      <t xml:space="preserve"> (BEX, als niet bekend, klik op HELP)</t>
    </r>
  </si>
  <si>
    <r>
      <t>N-excretie veestapel</t>
    </r>
    <r>
      <rPr>
        <sz val="8"/>
        <rFont val="Arial"/>
        <family val="2"/>
      </rPr>
      <t xml:space="preserve"> (BEX, als niet bekend klik op HELP)</t>
    </r>
  </si>
  <si>
    <t>HELP Klik hier om excretie en mestproductie te berekenen</t>
  </si>
  <si>
    <t xml:space="preserve"> KLIK HIER om terug te gaan naar invulblad</t>
  </si>
  <si>
    <t>Gewenste afvoer (max)</t>
  </si>
  <si>
    <t>Maximaal af te voeren bij scheiding alle mest</t>
  </si>
  <si>
    <r>
      <t xml:space="preserve">Toelichting: </t>
    </r>
    <r>
      <rPr>
        <sz val="10"/>
        <rFont val="Arial"/>
        <family val="2"/>
      </rPr>
      <t>Met de mestscheidingswijzer kunt u voor uw bedrijf berekenen of mestscheiding voordeel oplevert. Door in de gele cellen uw bedrijfsgegevens in te vullen en het type mestscheider te kiezen laat u de tool uitrekenen of mestscheiding iets voor uw bedrijf is. Als u de mestproductie van uw bedrijf niet weet of de excretie van N en P2O5 niet weet, kunt u op de HELP-link klikken. In de grijze hulpkolom worden dan passende waarden gesuggereerd die u (eventueel aangepast) zelf in de gele cel ernaast kunt invullen. Veel succes bij het invullen!</t>
    </r>
  </si>
  <si>
    <t>scheidings-rendement N</t>
  </si>
  <si>
    <t>scheidings-rendement P</t>
  </si>
  <si>
    <t>kosten toevoeg-middelen (€/ton)</t>
  </si>
  <si>
    <t>kosten energie (€/ton)</t>
  </si>
  <si>
    <t>Investering (€)</t>
  </si>
  <si>
    <t>KLIK HIER om kenmerken mestscheider te bekijken of aan te passen</t>
  </si>
  <si>
    <t>kg dik per ton (A)*</t>
  </si>
  <si>
    <t xml:space="preserve"> kg dun per ton (B)*</t>
  </si>
  <si>
    <t>* A + B moet altijd 1000 zijn!</t>
  </si>
  <si>
    <t>Voor mestscheiding</t>
  </si>
  <si>
    <t>Mestproductie in kg N (BEX)</t>
  </si>
  <si>
    <t>Mestproductie in kg P2O5 (BEX)</t>
  </si>
  <si>
    <t>Kenmerken bedrijf</t>
  </si>
  <si>
    <t>w.v. % fosfaattoestand hoog</t>
  </si>
  <si>
    <t>w.v. % fosfaattoestand laag</t>
  </si>
  <si>
    <t>w.v. % fosfaattoestand midden</t>
  </si>
  <si>
    <t>Percentage grasland</t>
  </si>
  <si>
    <t>N plaatsingsruimte dierlijke mest/ha</t>
  </si>
  <si>
    <t>N plaatsingsruimte dierlijke mest totaal</t>
  </si>
  <si>
    <t>P2O5 plaatsingsruimte dierlijke mest/ha</t>
  </si>
  <si>
    <t>P2O5 plaatsingsruimte dierlijke mest totaal</t>
  </si>
  <si>
    <t>Berekening mestafvoer</t>
  </si>
  <si>
    <t>Benodigde ton mestafvoer (maximum van a en b)</t>
  </si>
  <si>
    <t>Ton mest af te voeren op basis van N (a)</t>
  </si>
  <si>
    <t>Ton mest af te voeren op basis van P2O5 (b)</t>
  </si>
  <si>
    <t>Is na scheiding alle mest voldoende dikke fractie beschikbaar?</t>
  </si>
  <si>
    <t xml:space="preserve">Scheidingsrendement N </t>
  </si>
  <si>
    <t>(% van kg N van drijfmest dat na scheiding in dikke fractie terecht komt)</t>
  </si>
  <si>
    <t xml:space="preserve">Scheidingsrendement P2O5 </t>
  </si>
  <si>
    <t>(% van kg P2O5 van drijfmest dat na scheiding in dikke fractie terecht komt)</t>
  </si>
  <si>
    <t>Benodigde hoeveelheid dikke fractie (maximum van 1 en 2)</t>
  </si>
  <si>
    <t>Teveel geproduceerde N uit dierlijke mest</t>
  </si>
  <si>
    <t>Teveel geproduceerde P2O5 uit dierlijke mest</t>
  </si>
  <si>
    <t>Oppervlakte grasland</t>
  </si>
  <si>
    <t xml:space="preserve">Oppervlakte bouwland </t>
  </si>
  <si>
    <t>stuks</t>
  </si>
  <si>
    <t>ha</t>
  </si>
  <si>
    <t>kg N/ha</t>
  </si>
  <si>
    <t>kg P2O5/ha</t>
  </si>
  <si>
    <t>Productie dierlijke mest in de put</t>
  </si>
  <si>
    <t>N-gehalte dierlijke mest</t>
  </si>
  <si>
    <t>P2O5-gehalte dierlijke mest</t>
  </si>
  <si>
    <t>kg N/ton</t>
  </si>
  <si>
    <t>kg P2O5/ton</t>
  </si>
  <si>
    <t>Maximaal te scheiden mest</t>
  </si>
  <si>
    <t>Dikke fractie per ton gescheiden mest</t>
  </si>
  <si>
    <t>Maximale productie dikke fractie</t>
  </si>
  <si>
    <t>Stikstofgehalte dikke fractie</t>
  </si>
  <si>
    <t>Fosfaatgehalte dikke fractie</t>
  </si>
  <si>
    <t>Benodigde dikke fractie om N af te voeren (1)</t>
  </si>
  <si>
    <t>Benodigde dikke fractie om P2O5 af te voeren (2)</t>
  </si>
  <si>
    <t>Afvoer dikke en dunne fractie</t>
  </si>
  <si>
    <t>Afgevoerde stikstof in dikke fractie</t>
  </si>
  <si>
    <t>kg/ton drijfmest</t>
  </si>
  <si>
    <t>Benodigde afvoer stikstof</t>
  </si>
  <si>
    <t>Stikstofgehalte in dunne fractie</t>
  </si>
  <si>
    <t>Fosfaatgehalte in dunne fractie</t>
  </si>
  <si>
    <t>Afgevoerde fosfaat in dikke fractie</t>
  </si>
  <si>
    <t>Benodigde afvoer fosfaat</t>
  </si>
  <si>
    <t>Extra af te voeren fosfaat met dunne fractie</t>
  </si>
  <si>
    <t>Extra af te voeren stikstof met dunne fractie</t>
  </si>
  <si>
    <t>Dunne fractie af te voeren op basis van stikstof (x)</t>
  </si>
  <si>
    <t>Dunne fractie af te voeren op basis van fosfaat (y)</t>
  </si>
  <si>
    <t>Afvoer dunne fractie (maximum van x en y)</t>
  </si>
  <si>
    <t>Gescheiden mest</t>
  </si>
  <si>
    <t>Besparing kunstmest</t>
  </si>
  <si>
    <t>Stikstofgehalte dierlijke mest</t>
  </si>
  <si>
    <t>Werking stikstof uit dierlijke mest</t>
  </si>
  <si>
    <t>Toegediende drijfmest</t>
  </si>
  <si>
    <t>Toegediende dunne fractie</t>
  </si>
  <si>
    <t>Stikstofgehalte dunne fractie</t>
  </si>
  <si>
    <t>Werking stikstof uit dunne fractie</t>
  </si>
  <si>
    <t>kg N uit kunstmest</t>
  </si>
  <si>
    <t>Prijs kunstmest</t>
  </si>
  <si>
    <t>euro per kg</t>
  </si>
  <si>
    <t>Besparing kunstmestkosten</t>
  </si>
  <si>
    <t>Besparing kosten mestafvoer</t>
  </si>
  <si>
    <t>Afvoer drijfmest</t>
  </si>
  <si>
    <t>Prijs afvoer drijfmest</t>
  </si>
  <si>
    <t>Prijs afvoer dikke fractie</t>
  </si>
  <si>
    <t>Prijs afvoer dunne fractie</t>
  </si>
  <si>
    <t>Kosten mestafvoer (a)</t>
  </si>
  <si>
    <t>Kosten afvoer dikke en dunne fractie (b)</t>
  </si>
  <si>
    <t>Werkzame stikstof uit dierlijke mest (a)</t>
  </si>
  <si>
    <t>Werkzame stikstof uit dierlijke mest en dunne fractie (b)</t>
  </si>
  <si>
    <t>Besparing kunstmest (meer werkzame N toegediend) (b - a)</t>
  </si>
  <si>
    <t>€/ton</t>
  </si>
  <si>
    <t>Uitgebreide technische uitvoer</t>
  </si>
  <si>
    <t>Kenmerken mestscheiders</t>
  </si>
  <si>
    <t>(als er niet genoeg dikke fractie kan worden gemaakt, moet ook dunne fractie worden afgevoerd)</t>
  </si>
  <si>
    <t>Ureumgehalte in de melk (tussen 13 en 41)</t>
  </si>
  <si>
    <t>Klik hier voor uitgebreide technische uitvoer</t>
  </si>
</sst>
</file>

<file path=xl/styles.xml><?xml version="1.0" encoding="utf-8"?>
<styleSheet xmlns="http://schemas.openxmlformats.org/spreadsheetml/2006/main">
  <numFmts count="4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Ja&quot;;&quot;Ja&quot;;&quot;Nee&quot;"/>
    <numFmt numFmtId="181" formatCode="&quot;Waar&quot;;&quot;Waar&quot;;&quot;Niet waar&quot;"/>
    <numFmt numFmtId="182" formatCode="&quot;Aan&quot;;&quot;Aan&quot;;&quot;Uit&quot;"/>
    <numFmt numFmtId="183" formatCode="[$€-2]\ #.##000_);[Red]\([$€-2]\ #.##000\)"/>
    <numFmt numFmtId="184" formatCode="0.0"/>
    <numFmt numFmtId="185" formatCode="0.0000000"/>
    <numFmt numFmtId="186" formatCode="0.000000"/>
    <numFmt numFmtId="187" formatCode="0.00000"/>
    <numFmt numFmtId="188" formatCode="0.0000"/>
    <numFmt numFmtId="189" formatCode="0.000"/>
    <numFmt numFmtId="190" formatCode="\+0;\-0"/>
    <numFmt numFmtId="191" formatCode="0\ &quot;ton&quot;"/>
    <numFmt numFmtId="192" formatCode="0\ &quot;kg N&quot;"/>
    <numFmt numFmtId="193" formatCode="0\ &quot;kg P2O5&quot;"/>
    <numFmt numFmtId="194" formatCode="0.0%"/>
    <numFmt numFmtId="195" formatCode="0.00000000"/>
    <numFmt numFmtId="196" formatCode="\€\ 0\ &quot;per ton&quot;"/>
    <numFmt numFmtId="197" formatCode="&quot;Totale kosten mestafvoer&quot;\ \€\ 0"/>
    <numFmt numFmtId="198" formatCode="&quot;Totale kosten mestafvoer&quot;\ \€\ #,000"/>
    <numFmt numFmtId="199" formatCode="&quot;Totale kosten afvoer dikke fractie&quot;\ \€\ 0"/>
    <numFmt numFmtId="200" formatCode="&quot;Totale dunne fractie&quot;\ \€\ 0"/>
    <numFmt numFmtId="201" formatCode="&quot;Totale kosten afvoer dunne fractie&quot;\ \€\ 0"/>
  </numFmts>
  <fonts count="56">
    <font>
      <sz val="10"/>
      <name val="Arial"/>
      <family val="0"/>
    </font>
    <font>
      <sz val="9.5"/>
      <color indexed="8"/>
      <name val="News Gothic"/>
      <family val="2"/>
    </font>
    <font>
      <sz val="8"/>
      <name val="Arial"/>
      <family val="0"/>
    </font>
    <font>
      <b/>
      <sz val="10"/>
      <name val="Arial"/>
      <family val="2"/>
    </font>
    <font>
      <b/>
      <sz val="10"/>
      <color indexed="10"/>
      <name val="Arial"/>
      <family val="2"/>
    </font>
    <font>
      <sz val="9"/>
      <name val="Arial"/>
      <family val="2"/>
    </font>
    <font>
      <sz val="10"/>
      <color indexed="22"/>
      <name val="Arial"/>
      <family val="0"/>
    </font>
    <font>
      <vertAlign val="subscript"/>
      <sz val="10"/>
      <name val="Arial"/>
      <family val="2"/>
    </font>
    <font>
      <sz val="10"/>
      <color indexed="62"/>
      <name val="Arial"/>
      <family val="0"/>
    </font>
    <font>
      <u val="single"/>
      <sz val="10"/>
      <color indexed="12"/>
      <name val="Arial"/>
      <family val="0"/>
    </font>
    <font>
      <u val="single"/>
      <sz val="10"/>
      <color indexed="36"/>
      <name val="Arial"/>
      <family val="0"/>
    </font>
    <font>
      <sz val="10"/>
      <color indexed="12"/>
      <name val="Arial"/>
      <family val="0"/>
    </font>
    <font>
      <b/>
      <sz val="28"/>
      <color indexed="12"/>
      <name val="Arial"/>
      <family val="2"/>
    </font>
    <font>
      <b/>
      <sz val="10"/>
      <color indexed="18"/>
      <name val="Arial"/>
      <family val="2"/>
    </font>
    <font>
      <b/>
      <i/>
      <sz val="10"/>
      <color indexed="18"/>
      <name val="Arial"/>
      <family val="2"/>
    </font>
    <font>
      <u val="single"/>
      <sz val="10"/>
      <color indexed="62"/>
      <name val="Arial"/>
      <family val="0"/>
    </font>
    <font>
      <b/>
      <sz val="14"/>
      <name val="Arial"/>
      <family val="2"/>
    </font>
    <font>
      <i/>
      <sz val="10"/>
      <name val="Arial"/>
      <family val="2"/>
    </font>
    <font>
      <b/>
      <sz val="12"/>
      <name val="Arial"/>
      <family val="2"/>
    </font>
    <font>
      <sz val="10"/>
      <color indexed="10"/>
      <name val="Arial"/>
      <family val="2"/>
    </font>
    <font>
      <sz val="8"/>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13"/>
        <bgColor indexed="64"/>
      </patternFill>
    </fill>
    <fill>
      <patternFill patternType="solid">
        <fgColor indexed="22"/>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style="medium"/>
      <right>
        <color indexed="63"/>
      </right>
      <top>
        <color indexed="63"/>
      </top>
      <bottom style="thin"/>
    </border>
    <border>
      <left style="medium"/>
      <right>
        <color indexed="63"/>
      </right>
      <top style="medium"/>
      <bottom style="medium"/>
    </border>
    <border>
      <left style="thin"/>
      <right style="thin"/>
      <top style="thin"/>
      <bottom style="thin"/>
    </border>
    <border>
      <left style="thin"/>
      <right style="thin"/>
      <top style="thin"/>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thin"/>
    </border>
    <border>
      <left style="thin"/>
      <right style="thin"/>
      <top style="medium"/>
      <bottom style="thin"/>
    </border>
    <border>
      <left style="medium"/>
      <right style="medium"/>
      <top style="medium"/>
      <bottom style="medium"/>
    </border>
    <border>
      <left style="thin"/>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10"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9"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05">
    <xf numFmtId="0" fontId="0" fillId="0" borderId="0" xfId="0" applyAlignment="1">
      <alignment/>
    </xf>
    <xf numFmtId="0" fontId="1" fillId="0" borderId="10" xfId="0" applyFont="1" applyBorder="1" applyAlignment="1">
      <alignment horizontal="right" vertical="top" wrapText="1"/>
    </xf>
    <xf numFmtId="0" fontId="1" fillId="0" borderId="0" xfId="0" applyFont="1" applyFill="1" applyBorder="1" applyAlignment="1">
      <alignment horizontal="right" vertical="top" wrapText="1"/>
    </xf>
    <xf numFmtId="0" fontId="0" fillId="0" borderId="11" xfId="0" applyBorder="1" applyAlignment="1">
      <alignment horizontal="left"/>
    </xf>
    <xf numFmtId="0" fontId="0" fillId="0" borderId="12" xfId="0" applyBorder="1" applyAlignment="1">
      <alignment/>
    </xf>
    <xf numFmtId="0" fontId="0" fillId="0" borderId="13" xfId="0" applyBorder="1" applyAlignment="1">
      <alignment/>
    </xf>
    <xf numFmtId="0" fontId="0" fillId="0" borderId="14" xfId="0" applyBorder="1" applyAlignment="1">
      <alignment horizontal="left"/>
    </xf>
    <xf numFmtId="0" fontId="0" fillId="0" borderId="0" xfId="0" applyBorder="1" applyAlignment="1">
      <alignment/>
    </xf>
    <xf numFmtId="0" fontId="0" fillId="0" borderId="15" xfId="0" applyBorder="1" applyAlignment="1">
      <alignment/>
    </xf>
    <xf numFmtId="0" fontId="0" fillId="0" borderId="14" xfId="0" applyBorder="1" applyAlignment="1" applyProtection="1">
      <alignment horizontal="left"/>
      <protection locked="0"/>
    </xf>
    <xf numFmtId="0" fontId="0" fillId="0" borderId="0" xfId="0" applyBorder="1" applyAlignment="1" applyProtection="1">
      <alignment/>
      <protection locked="0"/>
    </xf>
    <xf numFmtId="1" fontId="0" fillId="0" borderId="0" xfId="0" applyNumberFormat="1" applyBorder="1" applyAlignment="1">
      <alignment/>
    </xf>
    <xf numFmtId="9" fontId="0" fillId="0" borderId="0" xfId="59" applyFont="1" applyBorder="1" applyAlignment="1">
      <alignment/>
    </xf>
    <xf numFmtId="0" fontId="0" fillId="0" borderId="14" xfId="0" applyBorder="1" applyAlignment="1">
      <alignment/>
    </xf>
    <xf numFmtId="0" fontId="0" fillId="0" borderId="0" xfId="0" applyFill="1" applyBorder="1" applyAlignment="1">
      <alignment/>
    </xf>
    <xf numFmtId="0" fontId="0" fillId="0" borderId="16" xfId="0" applyBorder="1" applyAlignment="1">
      <alignment horizontal="left"/>
    </xf>
    <xf numFmtId="0" fontId="0" fillId="0" borderId="17" xfId="0" applyFill="1" applyBorder="1" applyAlignment="1">
      <alignment/>
    </xf>
    <xf numFmtId="0" fontId="0" fillId="0" borderId="17" xfId="0" applyBorder="1" applyAlignment="1">
      <alignment/>
    </xf>
    <xf numFmtId="0" fontId="0" fillId="0" borderId="18" xfId="0" applyBorder="1" applyAlignment="1">
      <alignment/>
    </xf>
    <xf numFmtId="0" fontId="1" fillId="0" borderId="11" xfId="0" applyFont="1" applyBorder="1" applyAlignment="1">
      <alignment vertical="top" wrapText="1"/>
    </xf>
    <xf numFmtId="0" fontId="1" fillId="0" borderId="13" xfId="0" applyFont="1" applyBorder="1" applyAlignment="1">
      <alignment horizontal="right" vertical="top" wrapText="1"/>
    </xf>
    <xf numFmtId="0" fontId="1" fillId="0" borderId="19" xfId="0" applyFont="1" applyBorder="1" applyAlignment="1">
      <alignment vertical="top" wrapText="1"/>
    </xf>
    <xf numFmtId="0" fontId="1" fillId="0" borderId="14" xfId="0" applyFont="1" applyBorder="1" applyAlignment="1">
      <alignment vertical="top" wrapText="1"/>
    </xf>
    <xf numFmtId="0" fontId="1" fillId="0" borderId="0" xfId="0" applyFont="1" applyBorder="1" applyAlignment="1">
      <alignment vertical="top" wrapText="1"/>
    </xf>
    <xf numFmtId="184" fontId="0" fillId="0" borderId="0" xfId="0" applyNumberFormat="1" applyBorder="1" applyAlignment="1">
      <alignment horizontal="right"/>
    </xf>
    <xf numFmtId="184" fontId="0" fillId="0" borderId="15" xfId="0" applyNumberFormat="1" applyBorder="1" applyAlignment="1">
      <alignment horizontal="right"/>
    </xf>
    <xf numFmtId="0" fontId="0" fillId="33" borderId="0" xfId="0" applyFill="1" applyBorder="1" applyAlignment="1">
      <alignment/>
    </xf>
    <xf numFmtId="0" fontId="1" fillId="0" borderId="14" xfId="0" applyFont="1" applyFill="1" applyBorder="1" applyAlignment="1">
      <alignment vertical="top" wrapText="1"/>
    </xf>
    <xf numFmtId="0" fontId="0" fillId="0" borderId="16" xfId="0" applyBorder="1" applyAlignment="1">
      <alignment/>
    </xf>
    <xf numFmtId="0" fontId="0" fillId="0" borderId="12" xfId="0" applyBorder="1" applyAlignment="1">
      <alignment horizontal="right"/>
    </xf>
    <xf numFmtId="0" fontId="0" fillId="34" borderId="20" xfId="0" applyFill="1" applyBorder="1" applyAlignment="1">
      <alignment/>
    </xf>
    <xf numFmtId="0" fontId="0" fillId="34" borderId="21" xfId="0" applyFill="1" applyBorder="1" applyAlignment="1">
      <alignment/>
    </xf>
    <xf numFmtId="0" fontId="0" fillId="34" borderId="0" xfId="0" applyFill="1" applyBorder="1" applyAlignment="1">
      <alignment vertical="center"/>
    </xf>
    <xf numFmtId="0" fontId="0" fillId="34" borderId="22" xfId="0" applyFill="1" applyBorder="1" applyAlignment="1">
      <alignment vertical="center"/>
    </xf>
    <xf numFmtId="0" fontId="0" fillId="34" borderId="23" xfId="0" applyFont="1" applyFill="1" applyBorder="1" applyAlignment="1">
      <alignment vertical="center"/>
    </xf>
    <xf numFmtId="0" fontId="0" fillId="34" borderId="23" xfId="0" applyFill="1" applyBorder="1" applyAlignment="1">
      <alignment vertical="center"/>
    </xf>
    <xf numFmtId="190" fontId="0" fillId="34" borderId="0" xfId="0" applyNumberFormat="1" applyFill="1" applyBorder="1" applyAlignment="1">
      <alignment vertical="center"/>
    </xf>
    <xf numFmtId="0" fontId="5" fillId="34" borderId="23" xfId="0" applyFont="1" applyFill="1" applyBorder="1" applyAlignment="1">
      <alignment vertical="center"/>
    </xf>
    <xf numFmtId="0" fontId="0" fillId="34" borderId="0" xfId="0" applyFont="1" applyFill="1" applyBorder="1" applyAlignment="1">
      <alignment vertical="center"/>
    </xf>
    <xf numFmtId="0" fontId="3" fillId="34" borderId="0" xfId="0" applyFont="1" applyFill="1" applyBorder="1" applyAlignment="1">
      <alignment vertical="center"/>
    </xf>
    <xf numFmtId="0" fontId="6" fillId="34" borderId="22" xfId="0" applyFont="1" applyFill="1" applyBorder="1" applyAlignment="1">
      <alignment vertical="center"/>
    </xf>
    <xf numFmtId="0" fontId="0" fillId="34" borderId="23" xfId="0" applyFont="1" applyFill="1" applyBorder="1" applyAlignment="1">
      <alignment vertical="center"/>
    </xf>
    <xf numFmtId="0" fontId="2" fillId="34" borderId="0" xfId="0" applyFont="1" applyFill="1" applyBorder="1" applyAlignment="1">
      <alignment vertical="center"/>
    </xf>
    <xf numFmtId="0" fontId="0" fillId="34" borderId="24" xfId="0" applyFill="1" applyBorder="1" applyAlignment="1">
      <alignment vertical="center"/>
    </xf>
    <xf numFmtId="0" fontId="0" fillId="34" borderId="10" xfId="0" applyFill="1" applyBorder="1" applyAlignment="1">
      <alignment vertical="center"/>
    </xf>
    <xf numFmtId="0" fontId="0" fillId="34" borderId="25" xfId="0" applyFill="1" applyBorder="1" applyAlignment="1">
      <alignment vertical="center"/>
    </xf>
    <xf numFmtId="0" fontId="0" fillId="34" borderId="26" xfId="0" applyFill="1" applyBorder="1" applyAlignment="1">
      <alignment vertical="center"/>
    </xf>
    <xf numFmtId="0" fontId="0" fillId="34" borderId="0" xfId="0" applyFill="1" applyBorder="1" applyAlignment="1">
      <alignment/>
    </xf>
    <xf numFmtId="0" fontId="0" fillId="34" borderId="27" xfId="0" applyFill="1" applyBorder="1" applyAlignment="1">
      <alignment vertical="center"/>
    </xf>
    <xf numFmtId="0" fontId="0" fillId="0" borderId="0" xfId="0" applyAlignment="1">
      <alignment horizontal="right"/>
    </xf>
    <xf numFmtId="0" fontId="0" fillId="0" borderId="11" xfId="0" applyBorder="1" applyAlignment="1">
      <alignment/>
    </xf>
    <xf numFmtId="1" fontId="0" fillId="0" borderId="13" xfId="0" applyNumberFormat="1" applyBorder="1" applyAlignment="1">
      <alignment/>
    </xf>
    <xf numFmtId="1" fontId="0" fillId="0" borderId="15" xfId="0" applyNumberFormat="1" applyBorder="1" applyAlignment="1">
      <alignment/>
    </xf>
    <xf numFmtId="0" fontId="0" fillId="0" borderId="15" xfId="0" applyBorder="1" applyAlignment="1">
      <alignment horizontal="right"/>
    </xf>
    <xf numFmtId="0" fontId="0" fillId="33" borderId="18" xfId="0" applyFill="1" applyBorder="1" applyAlignment="1">
      <alignment horizontal="right"/>
    </xf>
    <xf numFmtId="0" fontId="0" fillId="34" borderId="23" xfId="0" applyFill="1" applyBorder="1" applyAlignment="1">
      <alignment/>
    </xf>
    <xf numFmtId="0" fontId="0" fillId="34" borderId="27" xfId="0" applyFill="1" applyBorder="1" applyAlignment="1">
      <alignment/>
    </xf>
    <xf numFmtId="0" fontId="0" fillId="34" borderId="26" xfId="0" applyFill="1" applyBorder="1" applyAlignment="1">
      <alignment/>
    </xf>
    <xf numFmtId="0" fontId="0" fillId="34" borderId="24" xfId="0" applyFill="1" applyBorder="1" applyAlignment="1">
      <alignment/>
    </xf>
    <xf numFmtId="2" fontId="3" fillId="34" borderId="0" xfId="0" applyNumberFormat="1" applyFont="1" applyFill="1" applyBorder="1" applyAlignment="1">
      <alignment horizontal="right" vertical="center"/>
    </xf>
    <xf numFmtId="1" fontId="3" fillId="34" borderId="0" xfId="0" applyNumberFormat="1" applyFont="1" applyFill="1" applyBorder="1" applyAlignment="1">
      <alignment horizontal="right" vertical="center"/>
    </xf>
    <xf numFmtId="1" fontId="0" fillId="34" borderId="0" xfId="0" applyNumberFormat="1" applyFill="1" applyBorder="1" applyAlignment="1">
      <alignment horizontal="right" vertical="center"/>
    </xf>
    <xf numFmtId="184" fontId="0" fillId="0" borderId="0" xfId="0" applyNumberFormat="1" applyFill="1" applyBorder="1" applyAlignment="1">
      <alignment horizontal="right"/>
    </xf>
    <xf numFmtId="0" fontId="0" fillId="34" borderId="0" xfId="0" applyFill="1" applyAlignment="1">
      <alignment/>
    </xf>
    <xf numFmtId="0" fontId="0" fillId="34" borderId="0" xfId="0" applyNumberFormat="1" applyFont="1" applyFill="1" applyBorder="1" applyAlignment="1">
      <alignment horizontal="right" vertical="center"/>
    </xf>
    <xf numFmtId="2" fontId="0" fillId="34" borderId="0" xfId="0" applyNumberFormat="1" applyFill="1" applyAlignment="1">
      <alignment/>
    </xf>
    <xf numFmtId="1" fontId="0" fillId="0" borderId="0" xfId="0" applyNumberFormat="1" applyAlignment="1">
      <alignment/>
    </xf>
    <xf numFmtId="0" fontId="3" fillId="0" borderId="0" xfId="0" applyFont="1" applyAlignment="1">
      <alignment/>
    </xf>
    <xf numFmtId="1" fontId="3" fillId="0" borderId="0" xfId="0" applyNumberFormat="1" applyFont="1" applyAlignment="1">
      <alignment/>
    </xf>
    <xf numFmtId="0" fontId="0" fillId="34" borderId="0" xfId="0" applyNumberFormat="1" applyFill="1" applyBorder="1" applyAlignment="1">
      <alignment horizontal="right" vertical="center"/>
    </xf>
    <xf numFmtId="0" fontId="0" fillId="34" borderId="20" xfId="0" applyFont="1" applyFill="1" applyBorder="1" applyAlignment="1">
      <alignment/>
    </xf>
    <xf numFmtId="0" fontId="0" fillId="34" borderId="0" xfId="0" applyFont="1" applyFill="1" applyBorder="1" applyAlignment="1">
      <alignment vertical="center"/>
    </xf>
    <xf numFmtId="0" fontId="0" fillId="34" borderId="0" xfId="0" applyFont="1" applyFill="1" applyBorder="1" applyAlignment="1">
      <alignment/>
    </xf>
    <xf numFmtId="0" fontId="0" fillId="34" borderId="10" xfId="0" applyFont="1" applyFill="1" applyBorder="1" applyAlignment="1">
      <alignment vertical="center"/>
    </xf>
    <xf numFmtId="0" fontId="0" fillId="0" borderId="0" xfId="0" applyFont="1" applyAlignment="1">
      <alignment/>
    </xf>
    <xf numFmtId="0" fontId="0" fillId="34" borderId="10" xfId="0" applyFont="1" applyFill="1" applyBorder="1" applyAlignment="1">
      <alignment vertical="center"/>
    </xf>
    <xf numFmtId="0" fontId="0" fillId="34" borderId="0" xfId="0" applyNumberFormat="1" applyFill="1" applyBorder="1" applyAlignment="1">
      <alignment horizontal="right" vertical="center" indent="1"/>
    </xf>
    <xf numFmtId="0" fontId="3" fillId="34" borderId="10" xfId="0" applyFont="1" applyFill="1" applyBorder="1" applyAlignment="1">
      <alignment vertical="center"/>
    </xf>
    <xf numFmtId="0" fontId="6" fillId="34" borderId="25" xfId="0" applyFont="1" applyFill="1" applyBorder="1" applyAlignment="1">
      <alignment vertical="center"/>
    </xf>
    <xf numFmtId="0" fontId="4" fillId="33" borderId="28" xfId="0" applyFont="1" applyFill="1" applyBorder="1" applyAlignment="1">
      <alignment vertical="center"/>
    </xf>
    <xf numFmtId="0" fontId="0" fillId="35" borderId="0" xfId="0" applyFill="1" applyBorder="1" applyAlignment="1">
      <alignment/>
    </xf>
    <xf numFmtId="0" fontId="0" fillId="35" borderId="17" xfId="0" applyFill="1" applyBorder="1" applyAlignment="1">
      <alignment/>
    </xf>
    <xf numFmtId="0" fontId="0" fillId="35" borderId="0" xfId="0" applyFill="1" applyBorder="1" applyAlignment="1" applyProtection="1">
      <alignment/>
      <protection locked="0"/>
    </xf>
    <xf numFmtId="0" fontId="0" fillId="34" borderId="0" xfId="0" applyFill="1" applyAlignment="1">
      <alignment horizontal="right"/>
    </xf>
    <xf numFmtId="0" fontId="0" fillId="34" borderId="0" xfId="0" applyFont="1" applyFill="1" applyAlignment="1">
      <alignment/>
    </xf>
    <xf numFmtId="0" fontId="3" fillId="36" borderId="0" xfId="0" applyFont="1" applyFill="1" applyBorder="1" applyAlignment="1">
      <alignment/>
    </xf>
    <xf numFmtId="0" fontId="0" fillId="34" borderId="0" xfId="0" applyFont="1" applyFill="1" applyBorder="1" applyAlignment="1">
      <alignment vertical="center"/>
    </xf>
    <xf numFmtId="1" fontId="0" fillId="33" borderId="29" xfId="0" applyNumberFormat="1" applyFill="1" applyBorder="1" applyAlignment="1">
      <alignment horizontal="right" vertical="center"/>
    </xf>
    <xf numFmtId="1" fontId="0" fillId="33" borderId="29" xfId="0" applyNumberFormat="1" applyFont="1" applyFill="1" applyBorder="1" applyAlignment="1">
      <alignment horizontal="right" vertical="center"/>
    </xf>
    <xf numFmtId="1" fontId="0" fillId="33" borderId="29" xfId="0" applyNumberFormat="1" applyFill="1" applyBorder="1" applyAlignment="1">
      <alignment vertical="center"/>
    </xf>
    <xf numFmtId="1" fontId="0" fillId="33" borderId="30" xfId="0" applyNumberFormat="1" applyFont="1" applyFill="1" applyBorder="1" applyAlignment="1">
      <alignment horizontal="right" vertical="center"/>
    </xf>
    <xf numFmtId="1" fontId="0" fillId="33" borderId="29" xfId="0" applyNumberFormat="1" applyFill="1" applyBorder="1" applyAlignment="1">
      <alignment/>
    </xf>
    <xf numFmtId="0" fontId="0" fillId="33" borderId="29" xfId="0" applyNumberFormat="1" applyFill="1" applyBorder="1" applyAlignment="1">
      <alignment horizontal="right" vertical="center" indent="1"/>
    </xf>
    <xf numFmtId="1" fontId="0" fillId="33" borderId="29" xfId="0" applyNumberFormat="1" applyFill="1" applyBorder="1" applyAlignment="1">
      <alignment horizontal="right" vertical="center" indent="1"/>
    </xf>
    <xf numFmtId="0" fontId="0" fillId="33" borderId="29" xfId="0" applyFill="1" applyBorder="1" applyAlignment="1">
      <alignment horizontal="right" indent="1"/>
    </xf>
    <xf numFmtId="1" fontId="0" fillId="33" borderId="30" xfId="0" applyNumberFormat="1" applyFill="1" applyBorder="1" applyAlignment="1">
      <alignment horizontal="right" vertical="center" indent="1"/>
    </xf>
    <xf numFmtId="0" fontId="0" fillId="34" borderId="0" xfId="0" applyFill="1" applyBorder="1" applyAlignment="1">
      <alignment horizontal="right"/>
    </xf>
    <xf numFmtId="0" fontId="0" fillId="36" borderId="0" xfId="0" applyFill="1" applyBorder="1" applyAlignment="1" applyProtection="1">
      <alignment horizontal="right" vertical="center"/>
      <protection locked="0"/>
    </xf>
    <xf numFmtId="0" fontId="8" fillId="34" borderId="31" xfId="0" applyFont="1" applyFill="1" applyBorder="1" applyAlignment="1">
      <alignment horizontal="right"/>
    </xf>
    <xf numFmtId="0" fontId="8" fillId="34" borderId="32" xfId="0" applyFont="1" applyFill="1" applyBorder="1" applyAlignment="1">
      <alignment horizontal="right"/>
    </xf>
    <xf numFmtId="0" fontId="0" fillId="33" borderId="30" xfId="0" applyFill="1" applyBorder="1" applyAlignment="1">
      <alignment horizontal="right" vertical="center"/>
    </xf>
    <xf numFmtId="0" fontId="13" fillId="34" borderId="33" xfId="0" applyFont="1" applyFill="1" applyBorder="1" applyAlignment="1">
      <alignment/>
    </xf>
    <xf numFmtId="0" fontId="14" fillId="34" borderId="23" xfId="0" applyFont="1" applyFill="1" applyBorder="1" applyAlignment="1">
      <alignment/>
    </xf>
    <xf numFmtId="0" fontId="14" fillId="34" borderId="23" xfId="0" applyFont="1" applyFill="1" applyBorder="1" applyAlignment="1">
      <alignment vertical="center"/>
    </xf>
    <xf numFmtId="0" fontId="13" fillId="34" borderId="23" xfId="0" applyFont="1" applyFill="1" applyBorder="1" applyAlignment="1">
      <alignment vertical="center"/>
    </xf>
    <xf numFmtId="0" fontId="13" fillId="34" borderId="0" xfId="0" applyFont="1" applyFill="1" applyBorder="1" applyAlignment="1">
      <alignment vertical="center"/>
    </xf>
    <xf numFmtId="0" fontId="13" fillId="33" borderId="34" xfId="0" applyFont="1" applyFill="1" applyBorder="1" applyAlignment="1">
      <alignment horizontal="right"/>
    </xf>
    <xf numFmtId="0" fontId="8" fillId="37" borderId="0" xfId="0" applyFont="1" applyFill="1" applyBorder="1" applyAlignment="1">
      <alignment horizontal="right"/>
    </xf>
    <xf numFmtId="194" fontId="8" fillId="37" borderId="0" xfId="59" applyNumberFormat="1" applyFont="1" applyFill="1" applyBorder="1" applyAlignment="1">
      <alignment horizontal="right"/>
    </xf>
    <xf numFmtId="2" fontId="8" fillId="37" borderId="0" xfId="0" applyNumberFormat="1" applyFont="1" applyFill="1" applyBorder="1" applyAlignment="1">
      <alignment horizontal="right"/>
    </xf>
    <xf numFmtId="1" fontId="13" fillId="33" borderId="29" xfId="0" applyNumberFormat="1" applyFont="1" applyFill="1" applyBorder="1" applyAlignment="1">
      <alignment horizontal="right" vertical="center"/>
    </xf>
    <xf numFmtId="1" fontId="13" fillId="33" borderId="35" xfId="0" applyNumberFormat="1" applyFont="1" applyFill="1" applyBorder="1" applyAlignment="1">
      <alignment horizontal="right" vertical="center"/>
    </xf>
    <xf numFmtId="0" fontId="3" fillId="33" borderId="36" xfId="0" applyFont="1" applyFill="1" applyBorder="1" applyAlignment="1" applyProtection="1">
      <alignment horizontal="right" vertical="center"/>
      <protection/>
    </xf>
    <xf numFmtId="0" fontId="3" fillId="34" borderId="0" xfId="0" applyFont="1" applyFill="1" applyAlignment="1">
      <alignment/>
    </xf>
    <xf numFmtId="0" fontId="11" fillId="34" borderId="0" xfId="0" applyFont="1" applyFill="1" applyAlignment="1">
      <alignment/>
    </xf>
    <xf numFmtId="191" fontId="0" fillId="33" borderId="29" xfId="0" applyNumberFormat="1" applyFill="1" applyBorder="1" applyAlignment="1">
      <alignment/>
    </xf>
    <xf numFmtId="0" fontId="0" fillId="0" borderId="0" xfId="0" applyAlignment="1" applyProtection="1">
      <alignment/>
      <protection locked="0"/>
    </xf>
    <xf numFmtId="0" fontId="0" fillId="34" borderId="22" xfId="0" applyFont="1" applyFill="1" applyBorder="1" applyAlignment="1">
      <alignment vertical="center"/>
    </xf>
    <xf numFmtId="0" fontId="0" fillId="34" borderId="0" xfId="0" applyFill="1" applyAlignment="1" applyProtection="1">
      <alignment/>
      <protection locked="0"/>
    </xf>
    <xf numFmtId="0" fontId="0" fillId="34" borderId="37" xfId="0" applyFill="1" applyBorder="1" applyAlignment="1">
      <alignment/>
    </xf>
    <xf numFmtId="0" fontId="0" fillId="34" borderId="37" xfId="0" applyNumberFormat="1" applyFill="1" applyBorder="1" applyAlignment="1">
      <alignment/>
    </xf>
    <xf numFmtId="0" fontId="0" fillId="34" borderId="37" xfId="0" applyFont="1" applyFill="1" applyBorder="1" applyAlignment="1">
      <alignment/>
    </xf>
    <xf numFmtId="0" fontId="0" fillId="34" borderId="38" xfId="0" applyFill="1" applyBorder="1" applyAlignment="1">
      <alignment vertical="center"/>
    </xf>
    <xf numFmtId="0" fontId="0" fillId="34" borderId="22" xfId="0" applyFill="1" applyBorder="1" applyAlignment="1">
      <alignment/>
    </xf>
    <xf numFmtId="0" fontId="15" fillId="37" borderId="39" xfId="0" applyFont="1" applyFill="1" applyBorder="1" applyAlignment="1">
      <alignment horizontal="right"/>
    </xf>
    <xf numFmtId="0" fontId="8" fillId="37" borderId="31" xfId="0" applyFont="1" applyFill="1" applyBorder="1" applyAlignment="1">
      <alignment horizontal="right"/>
    </xf>
    <xf numFmtId="1" fontId="8" fillId="37" borderId="31" xfId="0" applyNumberFormat="1" applyFont="1" applyFill="1" applyBorder="1" applyAlignment="1">
      <alignment horizontal="right"/>
    </xf>
    <xf numFmtId="9" fontId="8" fillId="37" borderId="31" xfId="59" applyFont="1" applyFill="1" applyBorder="1" applyAlignment="1">
      <alignment horizontal="right"/>
    </xf>
    <xf numFmtId="0" fontId="0" fillId="37" borderId="31" xfId="0" applyFill="1" applyBorder="1" applyAlignment="1">
      <alignment horizontal="right"/>
    </xf>
    <xf numFmtId="0" fontId="8" fillId="37" borderId="31" xfId="59" applyNumberFormat="1" applyFont="1" applyFill="1" applyBorder="1" applyAlignment="1">
      <alignment horizontal="right"/>
    </xf>
    <xf numFmtId="0" fontId="0" fillId="34" borderId="23" xfId="0" applyFill="1" applyBorder="1" applyAlignment="1">
      <alignment horizontal="left" vertical="center"/>
    </xf>
    <xf numFmtId="0" fontId="2" fillId="34" borderId="0" xfId="0" applyFont="1" applyFill="1" applyAlignment="1">
      <alignment/>
    </xf>
    <xf numFmtId="0" fontId="0" fillId="34" borderId="0" xfId="0" applyFill="1" applyAlignment="1">
      <alignment horizontal="center" wrapText="1"/>
    </xf>
    <xf numFmtId="0" fontId="0" fillId="36" borderId="0" xfId="0" applyFill="1" applyAlignment="1" applyProtection="1">
      <alignment horizontal="center"/>
      <protection locked="0"/>
    </xf>
    <xf numFmtId="9" fontId="0" fillId="36" borderId="0" xfId="59" applyFont="1" applyFill="1" applyAlignment="1" applyProtection="1">
      <alignment horizontal="center"/>
      <protection locked="0"/>
    </xf>
    <xf numFmtId="194" fontId="0" fillId="36" borderId="0" xfId="59" applyNumberFormat="1" applyFont="1" applyFill="1" applyAlignment="1" applyProtection="1">
      <alignment horizontal="center"/>
      <protection locked="0"/>
    </xf>
    <xf numFmtId="2" fontId="0" fillId="36" borderId="0" xfId="0" applyNumberFormat="1" applyFill="1" applyAlignment="1" applyProtection="1">
      <alignment horizontal="center"/>
      <protection locked="0"/>
    </xf>
    <xf numFmtId="190" fontId="0" fillId="33" borderId="29" xfId="0" applyNumberFormat="1" applyFill="1" applyBorder="1" applyAlignment="1">
      <alignment horizontal="right" vertical="center"/>
    </xf>
    <xf numFmtId="0" fontId="16" fillId="34" borderId="0" xfId="0" applyFont="1" applyFill="1" applyAlignment="1">
      <alignment/>
    </xf>
    <xf numFmtId="0" fontId="18" fillId="34" borderId="40" xfId="0" applyFont="1" applyFill="1" applyBorder="1" applyAlignment="1">
      <alignment/>
    </xf>
    <xf numFmtId="0" fontId="0" fillId="34" borderId="38" xfId="0" applyFill="1" applyBorder="1" applyAlignment="1">
      <alignment/>
    </xf>
    <xf numFmtId="9" fontId="0" fillId="33" borderId="0" xfId="59" applyFont="1" applyFill="1" applyBorder="1" applyAlignment="1">
      <alignment/>
    </xf>
    <xf numFmtId="1" fontId="0" fillId="33" borderId="0" xfId="0" applyNumberFormat="1" applyFill="1" applyBorder="1" applyAlignment="1">
      <alignment/>
    </xf>
    <xf numFmtId="0" fontId="0" fillId="34" borderId="10" xfId="0" applyFill="1" applyBorder="1" applyAlignment="1">
      <alignment/>
    </xf>
    <xf numFmtId="0" fontId="0" fillId="34" borderId="25" xfId="0" applyFill="1" applyBorder="1" applyAlignment="1">
      <alignment/>
    </xf>
    <xf numFmtId="0" fontId="17" fillId="34" borderId="23" xfId="0" applyFont="1" applyFill="1" applyBorder="1" applyAlignment="1">
      <alignment/>
    </xf>
    <xf numFmtId="0" fontId="3" fillId="34" borderId="23" xfId="0" applyFont="1" applyFill="1" applyBorder="1" applyAlignment="1">
      <alignment/>
    </xf>
    <xf numFmtId="1" fontId="3" fillId="33" borderId="0" xfId="0" applyNumberFormat="1" applyFont="1" applyFill="1" applyBorder="1" applyAlignment="1">
      <alignment/>
    </xf>
    <xf numFmtId="0" fontId="3" fillId="34" borderId="0" xfId="0" applyFont="1" applyFill="1" applyBorder="1" applyAlignment="1">
      <alignment/>
    </xf>
    <xf numFmtId="196" fontId="3" fillId="34" borderId="0" xfId="0" applyNumberFormat="1" applyFont="1" applyFill="1" applyBorder="1" applyAlignment="1">
      <alignment/>
    </xf>
    <xf numFmtId="197" fontId="3" fillId="34" borderId="0" xfId="0" applyNumberFormat="1" applyFont="1" applyFill="1" applyBorder="1" applyAlignment="1">
      <alignment horizontal="right"/>
    </xf>
    <xf numFmtId="0" fontId="3" fillId="34" borderId="22" xfId="0" applyFont="1" applyFill="1" applyBorder="1" applyAlignment="1">
      <alignment/>
    </xf>
    <xf numFmtId="2" fontId="0" fillId="33" borderId="0" xfId="0" applyNumberFormat="1" applyFill="1" applyBorder="1" applyAlignment="1">
      <alignment/>
    </xf>
    <xf numFmtId="0" fontId="0" fillId="33" borderId="0" xfId="0" applyFill="1" applyBorder="1" applyAlignment="1">
      <alignment horizontal="right"/>
    </xf>
    <xf numFmtId="0" fontId="3" fillId="33" borderId="0" xfId="0" applyFont="1" applyFill="1" applyBorder="1" applyAlignment="1">
      <alignment/>
    </xf>
    <xf numFmtId="199" fontId="3" fillId="34" borderId="0" xfId="0" applyNumberFormat="1" applyFont="1" applyFill="1" applyBorder="1" applyAlignment="1">
      <alignment horizontal="right"/>
    </xf>
    <xf numFmtId="1" fontId="0" fillId="34" borderId="0" xfId="0" applyNumberFormat="1" applyFill="1" applyBorder="1" applyAlignment="1">
      <alignment/>
    </xf>
    <xf numFmtId="201" fontId="3" fillId="34" borderId="0" xfId="0" applyNumberFormat="1" applyFont="1" applyFill="1" applyBorder="1" applyAlignment="1">
      <alignment horizontal="right"/>
    </xf>
    <xf numFmtId="9" fontId="0" fillId="33" borderId="0" xfId="0" applyNumberFormat="1" applyFill="1" applyBorder="1" applyAlignment="1">
      <alignment/>
    </xf>
    <xf numFmtId="0" fontId="3" fillId="34" borderId="24" xfId="0" applyFont="1" applyFill="1" applyBorder="1" applyAlignment="1">
      <alignment/>
    </xf>
    <xf numFmtId="1" fontId="3" fillId="33" borderId="10" xfId="0" applyNumberFormat="1" applyFont="1" applyFill="1" applyBorder="1" applyAlignment="1">
      <alignment/>
    </xf>
    <xf numFmtId="0" fontId="3" fillId="34" borderId="10" xfId="0" applyFont="1" applyFill="1" applyBorder="1" applyAlignment="1">
      <alignment/>
    </xf>
    <xf numFmtId="0" fontId="3" fillId="34" borderId="25" xfId="0" applyFont="1" applyFill="1" applyBorder="1" applyAlignment="1">
      <alignment/>
    </xf>
    <xf numFmtId="9" fontId="0" fillId="36" borderId="29" xfId="59" applyFont="1" applyFill="1" applyBorder="1" applyAlignment="1" applyProtection="1">
      <alignment/>
      <protection locked="0"/>
    </xf>
    <xf numFmtId="0" fontId="0" fillId="36" borderId="29" xfId="0" applyFill="1" applyBorder="1" applyAlignment="1" applyProtection="1">
      <alignment/>
      <protection locked="0"/>
    </xf>
    <xf numFmtId="0" fontId="1" fillId="0" borderId="12" xfId="0" applyFont="1" applyBorder="1" applyAlignment="1">
      <alignment horizontal="center" vertical="top" wrapText="1"/>
    </xf>
    <xf numFmtId="184" fontId="0" fillId="0" borderId="0" xfId="0" applyNumberFormat="1" applyAlignment="1">
      <alignment horizontal="right"/>
    </xf>
    <xf numFmtId="0" fontId="3" fillId="34" borderId="0" xfId="0" applyFont="1" applyFill="1" applyBorder="1" applyAlignment="1">
      <alignment vertical="top" wrapText="1"/>
    </xf>
    <xf numFmtId="0" fontId="0" fillId="34" borderId="0" xfId="0" applyFill="1" applyBorder="1" applyAlignment="1">
      <alignment vertical="top" wrapText="1"/>
    </xf>
    <xf numFmtId="0" fontId="19" fillId="33" borderId="41" xfId="0" applyNumberFormat="1" applyFont="1" applyFill="1" applyBorder="1" applyAlignment="1">
      <alignment horizontal="right" vertical="center"/>
    </xf>
    <xf numFmtId="0" fontId="20" fillId="33" borderId="42" xfId="0" applyFont="1" applyFill="1" applyBorder="1" applyAlignment="1">
      <alignment vertical="center"/>
    </xf>
    <xf numFmtId="0" fontId="0" fillId="34" borderId="10" xfId="0" applyFont="1" applyFill="1" applyBorder="1" applyAlignment="1">
      <alignment/>
    </xf>
    <xf numFmtId="0" fontId="0" fillId="34" borderId="0" xfId="0" applyFill="1" applyBorder="1" applyAlignment="1" applyProtection="1">
      <alignment horizontal="right" vertical="center"/>
      <protection locked="0"/>
    </xf>
    <xf numFmtId="194" fontId="0" fillId="34" borderId="0" xfId="0" applyNumberFormat="1" applyFill="1" applyBorder="1" applyAlignment="1" applyProtection="1">
      <alignment horizontal="right" vertical="center"/>
      <protection locked="0"/>
    </xf>
    <xf numFmtId="2" fontId="0" fillId="34" borderId="0" xfId="0" applyNumberFormat="1" applyFill="1" applyBorder="1" applyAlignment="1" applyProtection="1">
      <alignment horizontal="right" vertical="center"/>
      <protection locked="0"/>
    </xf>
    <xf numFmtId="0" fontId="13" fillId="34" borderId="37" xfId="0" applyFont="1" applyFill="1" applyBorder="1" applyAlignment="1">
      <alignment/>
    </xf>
    <xf numFmtId="0" fontId="3" fillId="34" borderId="0" xfId="0" applyFont="1" applyFill="1" applyBorder="1" applyAlignment="1">
      <alignment vertical="center"/>
    </xf>
    <xf numFmtId="0" fontId="0" fillId="37" borderId="32" xfId="0" applyFill="1" applyBorder="1" applyAlignment="1">
      <alignment horizontal="right"/>
    </xf>
    <xf numFmtId="0" fontId="0" fillId="33" borderId="36" xfId="0" applyFill="1" applyBorder="1" applyAlignment="1" applyProtection="1">
      <alignment horizontal="right" vertical="center"/>
      <protection/>
    </xf>
    <xf numFmtId="9" fontId="0" fillId="33" borderId="36" xfId="59" applyFont="1" applyFill="1" applyBorder="1" applyAlignment="1" applyProtection="1">
      <alignment horizontal="right" vertical="center"/>
      <protection/>
    </xf>
    <xf numFmtId="0" fontId="13" fillId="36" borderId="43" xfId="0" applyFont="1" applyFill="1" applyBorder="1" applyAlignment="1">
      <alignment horizontal="right"/>
    </xf>
    <xf numFmtId="0" fontId="8" fillId="34" borderId="39" xfId="0" applyFont="1" applyFill="1" applyBorder="1" applyAlignment="1">
      <alignment horizontal="right"/>
    </xf>
    <xf numFmtId="0" fontId="0" fillId="36" borderId="36" xfId="0" applyFill="1" applyBorder="1" applyAlignment="1" applyProtection="1">
      <alignment horizontal="right" vertical="center"/>
      <protection locked="0"/>
    </xf>
    <xf numFmtId="1" fontId="0" fillId="36" borderId="36" xfId="0" applyNumberFormat="1" applyFill="1" applyBorder="1" applyAlignment="1" applyProtection="1">
      <alignment horizontal="right" vertical="center"/>
      <protection locked="0"/>
    </xf>
    <xf numFmtId="0" fontId="0" fillId="36" borderId="36" xfId="0" applyFont="1" applyFill="1" applyBorder="1" applyAlignment="1" applyProtection="1">
      <alignment horizontal="right" vertical="center"/>
      <protection locked="0"/>
    </xf>
    <xf numFmtId="9" fontId="0" fillId="36" borderId="36" xfId="59" applyFont="1" applyFill="1" applyBorder="1" applyAlignment="1" applyProtection="1">
      <alignment horizontal="right" vertical="center"/>
      <protection locked="0"/>
    </xf>
    <xf numFmtId="0" fontId="0" fillId="36" borderId="36" xfId="59" applyNumberFormat="1" applyFont="1" applyFill="1" applyBorder="1" applyAlignment="1" applyProtection="1">
      <alignment horizontal="right" vertical="center"/>
      <protection locked="0"/>
    </xf>
    <xf numFmtId="0" fontId="0" fillId="36" borderId="36" xfId="59" applyNumberFormat="1" applyFont="1" applyFill="1" applyBorder="1" applyAlignment="1" applyProtection="1">
      <alignment/>
      <protection locked="0"/>
    </xf>
    <xf numFmtId="0" fontId="9" fillId="33" borderId="0" xfId="53" applyFill="1" applyBorder="1" applyAlignment="1" applyProtection="1">
      <alignment/>
      <protection/>
    </xf>
    <xf numFmtId="0" fontId="0" fillId="33" borderId="0" xfId="0" applyFill="1" applyAlignment="1">
      <alignment/>
    </xf>
    <xf numFmtId="0" fontId="9" fillId="33" borderId="23" xfId="53" applyFont="1" applyFill="1" applyBorder="1" applyAlignment="1" applyProtection="1">
      <alignment horizontal="center" vertical="center"/>
      <protection/>
    </xf>
    <xf numFmtId="0" fontId="9" fillId="33" borderId="0" xfId="53" applyFill="1" applyBorder="1" applyAlignment="1" applyProtection="1">
      <alignment horizontal="center" vertical="center"/>
      <protection/>
    </xf>
    <xf numFmtId="0" fontId="12" fillId="34" borderId="0" xfId="0" applyFont="1" applyFill="1" applyAlignment="1">
      <alignment horizontal="center" vertical="top"/>
    </xf>
    <xf numFmtId="0" fontId="12" fillId="0" borderId="0" xfId="0" applyFont="1" applyAlignment="1">
      <alignment horizontal="center" vertical="top"/>
    </xf>
    <xf numFmtId="0" fontId="12" fillId="0" borderId="0" xfId="0" applyFont="1" applyBorder="1" applyAlignment="1">
      <alignment horizontal="center" vertical="top"/>
    </xf>
    <xf numFmtId="0" fontId="9" fillId="33" borderId="23" xfId="53" applyFont="1" applyFill="1" applyBorder="1" applyAlignment="1" applyProtection="1">
      <alignment horizontal="center" vertical="center"/>
      <protection locked="0"/>
    </xf>
    <xf numFmtId="0" fontId="9" fillId="33" borderId="0" xfId="53" applyFill="1" applyBorder="1" applyAlignment="1" applyProtection="1">
      <alignment horizontal="center" vertical="center"/>
      <protection locked="0"/>
    </xf>
    <xf numFmtId="0" fontId="3" fillId="34" borderId="0" xfId="0" applyFont="1" applyFill="1" applyBorder="1" applyAlignment="1">
      <alignment vertical="top" wrapText="1"/>
    </xf>
    <xf numFmtId="0" fontId="0" fillId="0" borderId="0" xfId="0" applyBorder="1" applyAlignment="1">
      <alignment vertical="top" wrapText="1"/>
    </xf>
    <xf numFmtId="0" fontId="9" fillId="33" borderId="0" xfId="53" applyFont="1" applyFill="1" applyAlignment="1" applyProtection="1">
      <alignment horizontal="right"/>
      <protection/>
    </xf>
    <xf numFmtId="0" fontId="11" fillId="33" borderId="0" xfId="0" applyFont="1" applyFill="1" applyAlignment="1">
      <alignment/>
    </xf>
    <xf numFmtId="0" fontId="0" fillId="36" borderId="0" xfId="0" applyFill="1" applyAlignment="1">
      <alignment horizontal="right"/>
    </xf>
    <xf numFmtId="0" fontId="0" fillId="36" borderId="0" xfId="0" applyFill="1" applyAlignment="1">
      <alignment/>
    </xf>
    <xf numFmtId="0" fontId="0" fillId="0" borderId="0" xfId="0" applyAlignment="1" applyProtection="1">
      <alignment horizontal="right"/>
      <protection/>
    </xf>
    <xf numFmtId="0" fontId="1" fillId="0" borderId="44" xfId="0" applyFont="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180975</xdr:colOff>
      <xdr:row>20</xdr:row>
      <xdr:rowOff>57150</xdr:rowOff>
    </xdr:from>
    <xdr:ext cx="2447925" cy="2009775"/>
    <xdr:sp>
      <xdr:nvSpPr>
        <xdr:cNvPr id="1" name="AutoShape 16"/>
        <xdr:cNvSpPr>
          <a:spLocks/>
        </xdr:cNvSpPr>
      </xdr:nvSpPr>
      <xdr:spPr>
        <a:xfrm>
          <a:off x="9286875" y="3810000"/>
          <a:ext cx="2447925" cy="2009775"/>
        </a:xfrm>
        <a:prstGeom prst="borderCallout1">
          <a:avLst>
            <a:gd name="adj1" fmla="val -255060"/>
            <a:gd name="adj2" fmla="val -53791"/>
            <a:gd name="adj3" fmla="val 45328"/>
            <a:gd name="adj4" fmla="val -53791"/>
          </a:avLst>
        </a:prstGeom>
        <a:solidFill>
          <a:srgbClr val="C0C0C0"/>
        </a:solidFill>
        <a:ln w="25400" cmpd="sng">
          <a:solidFill>
            <a:srgbClr val="0000FF"/>
          </a:solidFill>
          <a:headEnd type="none"/>
          <a:tailEnd type="none"/>
        </a:ln>
      </xdr:spPr>
      <xdr:txBody>
        <a:bodyPr vertOverflow="clip" wrap="square" lIns="27432" tIns="22860" rIns="0" bIns="0"/>
        <a:p>
          <a:pPr algn="l">
            <a:defRPr/>
          </a:pPr>
          <a:r>
            <a:rPr lang="en-US" cap="none" sz="1000" b="0" i="0" u="none" baseline="0">
              <a:solidFill>
                <a:srgbClr val="0000FF"/>
              </a:solidFill>
              <a:latin typeface="Arial"/>
              <a:ea typeface="Arial"/>
              <a:cs typeface="Arial"/>
            </a:rPr>
            <a:t>Wanneer de excretie of mestproductie niet bekend is, gebruik gegevens uit hulpkolom bij bepalen juiste invulwaarde in gele cel. De hulpkolom wordt deels gevuld met gegevens uit het 'hulpwerkblad'. Voor meer informatie klik op de HELP-link onder kopje "mest".
</a:t>
          </a:r>
          <a:r>
            <a:rPr lang="en-US" cap="none" sz="1000" b="0" i="0" u="none" baseline="0">
              <a:solidFill>
                <a:srgbClr val="0000FF"/>
              </a:solidFill>
              <a:latin typeface="Arial"/>
              <a:ea typeface="Arial"/>
              <a:cs typeface="Arial"/>
            </a:rPr>
            <a:t>
</a:t>
          </a:r>
          <a:r>
            <a:rPr lang="en-US" cap="none" sz="1000" b="0" i="0" u="none" baseline="0">
              <a:solidFill>
                <a:srgbClr val="0000FF"/>
              </a:solidFill>
              <a:latin typeface="Arial"/>
              <a:ea typeface="Arial"/>
              <a:cs typeface="Arial"/>
            </a:rPr>
            <a:t>De invulwaarden van de gele cellen bepalen uiteindelijk het resultaat, de getallen in de grijze kolom dienen enkel als hulpmiddel.</a:t>
          </a:r>
        </a:p>
      </xdr:txBody>
    </xdr:sp>
    <xdr:clientData/>
  </xdr:oneCellAnchor>
  <xdr:oneCellAnchor>
    <xdr:from>
      <xdr:col>8</xdr:col>
      <xdr:colOff>180975</xdr:colOff>
      <xdr:row>39</xdr:row>
      <xdr:rowOff>38100</xdr:rowOff>
    </xdr:from>
    <xdr:ext cx="2400300" cy="762000"/>
    <xdr:sp>
      <xdr:nvSpPr>
        <xdr:cNvPr id="2" name="AutoShape 18"/>
        <xdr:cNvSpPr>
          <a:spLocks/>
        </xdr:cNvSpPr>
      </xdr:nvSpPr>
      <xdr:spPr>
        <a:xfrm>
          <a:off x="9286875" y="6286500"/>
          <a:ext cx="2400300" cy="762000"/>
        </a:xfrm>
        <a:prstGeom prst="borderCallout1">
          <a:avLst>
            <a:gd name="adj1" fmla="val -261111"/>
            <a:gd name="adj2" fmla="val -60000"/>
            <a:gd name="adj3" fmla="val 45236"/>
            <a:gd name="adj4" fmla="val -60000"/>
          </a:avLst>
        </a:prstGeom>
        <a:solidFill>
          <a:srgbClr val="C0C0C0"/>
        </a:solidFill>
        <a:ln w="25400" cmpd="sng">
          <a:solidFill>
            <a:srgbClr val="0000FF"/>
          </a:solidFill>
          <a:headEnd type="none"/>
          <a:tailEnd type="none"/>
        </a:ln>
      </xdr:spPr>
      <xdr:txBody>
        <a:bodyPr vertOverflow="clip" wrap="square" lIns="27432" tIns="22860" rIns="0" bIns="0"/>
        <a:p>
          <a:pPr algn="l">
            <a:defRPr/>
          </a:pPr>
          <a:r>
            <a:rPr lang="en-US" cap="none" sz="1000" b="0" i="0" u="none" baseline="0">
              <a:solidFill>
                <a:srgbClr val="0000FF"/>
              </a:solidFill>
              <a:latin typeface="Arial"/>
              <a:ea typeface="Arial"/>
              <a:cs typeface="Arial"/>
            </a:rPr>
            <a:t>Door op de KILK HIER-link te klikken kunt u verschillende kenmerken van de mestscheiders bekijken en eventueel wijzigen. </a:t>
          </a:r>
        </a:p>
      </xdr:txBody>
    </xdr:sp>
    <xdr:clientData/>
  </xdr:oneCellAnchor>
  <xdr:twoCellAnchor>
    <xdr:from>
      <xdr:col>8</xdr:col>
      <xdr:colOff>66675</xdr:colOff>
      <xdr:row>0</xdr:row>
      <xdr:rowOff>76200</xdr:rowOff>
    </xdr:from>
    <xdr:to>
      <xdr:col>12</xdr:col>
      <xdr:colOff>76200</xdr:colOff>
      <xdr:row>3</xdr:row>
      <xdr:rowOff>714375</xdr:rowOff>
    </xdr:to>
    <xdr:sp>
      <xdr:nvSpPr>
        <xdr:cNvPr id="3" name="AutoShape 21"/>
        <xdr:cNvSpPr>
          <a:spLocks/>
        </xdr:cNvSpPr>
      </xdr:nvSpPr>
      <xdr:spPr>
        <a:xfrm>
          <a:off x="9172575" y="76200"/>
          <a:ext cx="2447925" cy="1123950"/>
        </a:xfrm>
        <a:prstGeom prst="foldedCorner">
          <a:avLst/>
        </a:prstGeom>
        <a:solidFill>
          <a:srgbClr val="C0C0C0"/>
        </a:solidFill>
        <a:ln w="19050" cmpd="sng">
          <a:solidFill>
            <a:srgbClr val="0000FF"/>
          </a:solidFill>
          <a:headEnd type="none"/>
          <a:tailEnd type="none"/>
        </a:ln>
      </xdr:spPr>
      <xdr:txBody>
        <a:bodyPr vertOverflow="clip" wrap="square" lIns="27432" tIns="22860" rIns="0" bIns="0"/>
        <a:p>
          <a:pPr algn="l">
            <a:defRPr/>
          </a:pPr>
          <a:r>
            <a:rPr lang="en-US" cap="none" sz="1000" b="0" i="0" u="none" baseline="0">
              <a:solidFill>
                <a:srgbClr val="0000FF"/>
              </a:solidFill>
              <a:latin typeface="Arial"/>
              <a:ea typeface="Arial"/>
              <a:cs typeface="Arial"/>
            </a:rPr>
            <a:t>Bij mestscheiding wordt dikke fractie, dunne fractie en drijfmest afzonderlijk opgeslagen. Afhankelijk van de bedrijfssituatie is hiervoor wel of geen extra investering in mestopslag nodig. Kosten hiervoor zijn niet in deze tool meegenomen.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325"/>
  <sheetViews>
    <sheetView tabSelected="1" zoomScalePageLayoutView="0" workbookViewId="0" topLeftCell="A1">
      <selection activeCell="B8" sqref="B8"/>
    </sheetView>
  </sheetViews>
  <sheetFormatPr defaultColWidth="9.140625" defaultRowHeight="12.75"/>
  <cols>
    <col min="1" max="1" width="48.421875" style="0" customWidth="1"/>
    <col min="2" max="2" width="11.57421875" style="0" customWidth="1"/>
    <col min="3" max="3" width="10.140625" style="49" customWidth="1"/>
    <col min="4" max="4" width="12.8515625" style="0" bestFit="1" customWidth="1"/>
    <col min="5" max="5" width="31.8515625" style="0" customWidth="1"/>
    <col min="6" max="6" width="10.140625" style="0" customWidth="1"/>
    <col min="7" max="7" width="8.8515625" style="74" customWidth="1"/>
    <col min="8" max="8" width="2.7109375" style="0" customWidth="1"/>
    <col min="9" max="13" width="9.140625" style="63" customWidth="1"/>
  </cols>
  <sheetData>
    <row r="1" spans="1:9" ht="12.75">
      <c r="A1" s="47"/>
      <c r="B1" s="192" t="s">
        <v>182</v>
      </c>
      <c r="C1" s="193"/>
      <c r="D1" s="193"/>
      <c r="E1" s="193"/>
      <c r="F1" s="193"/>
      <c r="G1" s="193"/>
      <c r="H1" s="193"/>
      <c r="I1" s="47"/>
    </row>
    <row r="2" spans="1:9" ht="12.75">
      <c r="A2" s="85" t="s">
        <v>183</v>
      </c>
      <c r="B2" s="193"/>
      <c r="C2" s="193"/>
      <c r="D2" s="193"/>
      <c r="E2" s="193"/>
      <c r="F2" s="193"/>
      <c r="G2" s="193"/>
      <c r="H2" s="193"/>
      <c r="I2" s="47"/>
    </row>
    <row r="3" spans="1:9" ht="12.75">
      <c r="A3" s="63"/>
      <c r="B3" s="194"/>
      <c r="C3" s="194"/>
      <c r="D3" s="194"/>
      <c r="E3" s="194"/>
      <c r="F3" s="194"/>
      <c r="G3" s="194"/>
      <c r="H3" s="194"/>
      <c r="I3" s="47"/>
    </row>
    <row r="4" spans="1:9" ht="56.25" customHeight="1">
      <c r="A4" s="197" t="s">
        <v>194</v>
      </c>
      <c r="B4" s="198"/>
      <c r="C4" s="198"/>
      <c r="D4" s="198"/>
      <c r="E4" s="198"/>
      <c r="F4" s="198"/>
      <c r="G4" s="198"/>
      <c r="H4" s="198"/>
      <c r="I4" s="47"/>
    </row>
    <row r="5" spans="1:9" ht="9" customHeight="1" thickBot="1">
      <c r="A5" s="167"/>
      <c r="B5" s="168"/>
      <c r="C5" s="168"/>
      <c r="D5" s="168"/>
      <c r="E5" s="168"/>
      <c r="F5" s="168"/>
      <c r="G5" s="168"/>
      <c r="H5" s="168"/>
      <c r="I5" s="47"/>
    </row>
    <row r="6" spans="1:12" ht="12.75">
      <c r="A6" s="101" t="s">
        <v>55</v>
      </c>
      <c r="B6" s="180" t="s">
        <v>56</v>
      </c>
      <c r="C6" s="181"/>
      <c r="D6" s="101" t="s">
        <v>57</v>
      </c>
      <c r="E6" s="30"/>
      <c r="F6" s="106" t="s">
        <v>58</v>
      </c>
      <c r="G6" s="70"/>
      <c r="H6" s="31"/>
      <c r="I6" s="188" t="s">
        <v>286</v>
      </c>
      <c r="J6" s="189"/>
      <c r="K6" s="189"/>
      <c r="L6" s="189"/>
    </row>
    <row r="7" spans="1:8" ht="12.75">
      <c r="A7" s="102" t="s">
        <v>59</v>
      </c>
      <c r="B7" s="96"/>
      <c r="C7" s="98"/>
      <c r="D7" s="35" t="s">
        <v>60</v>
      </c>
      <c r="E7" s="32"/>
      <c r="F7" s="87">
        <f>'rekenblad 1'!C63*('rekenblad 1'!B69+'rekenblad 1'!B75)</f>
        <v>13075</v>
      </c>
      <c r="G7" s="38" t="s">
        <v>61</v>
      </c>
      <c r="H7" s="33"/>
    </row>
    <row r="8" spans="1:8" ht="12.75">
      <c r="A8" s="34" t="s">
        <v>62</v>
      </c>
      <c r="B8" s="182">
        <v>2009</v>
      </c>
      <c r="C8" s="98"/>
      <c r="D8" s="35" t="s">
        <v>63</v>
      </c>
      <c r="E8" s="32"/>
      <c r="F8" s="87">
        <f>'rekenblad 1'!B69*'rekenblad 1'!C59+'rekenblad 1'!B75*'rekenblad 1'!C60</f>
        <v>5080</v>
      </c>
      <c r="G8" s="38" t="s">
        <v>64</v>
      </c>
      <c r="H8" s="33"/>
    </row>
    <row r="9" spans="1:8" ht="12.75">
      <c r="A9" s="46" t="s">
        <v>65</v>
      </c>
      <c r="B9" s="182">
        <v>141.8</v>
      </c>
      <c r="C9" s="98"/>
      <c r="D9" s="35"/>
      <c r="E9" s="32"/>
      <c r="F9" s="32"/>
      <c r="G9" s="38"/>
      <c r="H9" s="33"/>
    </row>
    <row r="10" spans="1:8" ht="12.75">
      <c r="A10" s="55" t="s">
        <v>83</v>
      </c>
      <c r="B10" s="182">
        <v>45.82</v>
      </c>
      <c r="C10" s="98"/>
      <c r="D10" s="35" t="s">
        <v>67</v>
      </c>
      <c r="E10" s="32"/>
      <c r="F10" s="137">
        <f>B24-F7</f>
        <v>4735</v>
      </c>
      <c r="G10" s="38" t="s">
        <v>61</v>
      </c>
      <c r="H10" s="33"/>
    </row>
    <row r="11" spans="1:8" ht="12.75">
      <c r="A11" s="56" t="s">
        <v>84</v>
      </c>
      <c r="B11" s="182">
        <v>48.23</v>
      </c>
      <c r="C11" s="98"/>
      <c r="D11" s="35" t="s">
        <v>69</v>
      </c>
      <c r="E11" s="32"/>
      <c r="F11" s="137">
        <f>B25-F8</f>
        <v>2153</v>
      </c>
      <c r="G11" s="38" t="s">
        <v>64</v>
      </c>
      <c r="H11" s="33"/>
    </row>
    <row r="12" spans="1:8" ht="12.75">
      <c r="A12" s="57" t="s">
        <v>85</v>
      </c>
      <c r="B12" s="182">
        <v>8253</v>
      </c>
      <c r="C12" s="98"/>
      <c r="D12" s="35"/>
      <c r="E12" s="32"/>
      <c r="F12" s="36"/>
      <c r="G12" s="38"/>
      <c r="H12" s="33"/>
    </row>
    <row r="13" spans="1:8" ht="12.75">
      <c r="A13" s="56" t="s">
        <v>285</v>
      </c>
      <c r="B13" s="182">
        <v>22</v>
      </c>
      <c r="C13" s="98"/>
      <c r="D13" s="35" t="s">
        <v>86</v>
      </c>
      <c r="E13" s="32"/>
      <c r="F13" s="87">
        <f>IF('rekenblad 1'!K38&gt;0,'rekenblad 1'!K38,0)</f>
        <v>1464.6258503401361</v>
      </c>
      <c r="G13" s="38" t="s">
        <v>118</v>
      </c>
      <c r="H13" s="33"/>
    </row>
    <row r="14" spans="1:8" ht="13.5" thickBot="1">
      <c r="A14" s="46" t="s">
        <v>66</v>
      </c>
      <c r="B14" s="182">
        <v>0</v>
      </c>
      <c r="C14" s="98"/>
      <c r="D14" s="43" t="s">
        <v>73</v>
      </c>
      <c r="E14" s="44"/>
      <c r="F14" s="100" t="str">
        <f>'rekenblad 1'!K40</f>
        <v>Fosfaat</v>
      </c>
      <c r="G14" s="77"/>
      <c r="H14" s="45"/>
    </row>
    <row r="15" spans="1:8" ht="12.75">
      <c r="A15" s="35" t="s">
        <v>68</v>
      </c>
      <c r="B15" s="182">
        <v>42.3</v>
      </c>
      <c r="C15" s="98"/>
      <c r="D15" s="104" t="s">
        <v>139</v>
      </c>
      <c r="E15" s="32"/>
      <c r="F15" s="59"/>
      <c r="G15" s="71"/>
      <c r="H15" s="33"/>
    </row>
    <row r="16" spans="1:8" ht="12.75">
      <c r="A16" s="35" t="s">
        <v>70</v>
      </c>
      <c r="B16" s="182">
        <v>0</v>
      </c>
      <c r="C16" s="98"/>
      <c r="D16" s="35" t="s">
        <v>140</v>
      </c>
      <c r="E16" s="32"/>
      <c r="F16" s="110">
        <f>'rekenblad 2'!D21</f>
        <v>5610</v>
      </c>
      <c r="G16" s="105" t="s">
        <v>118</v>
      </c>
      <c r="H16" s="33"/>
    </row>
    <row r="17" spans="1:8" ht="12.75">
      <c r="A17" s="48" t="s">
        <v>71</v>
      </c>
      <c r="B17" s="112">
        <f>B14+B15+B16</f>
        <v>42.3</v>
      </c>
      <c r="C17" s="98"/>
      <c r="D17" s="37"/>
      <c r="E17" s="38"/>
      <c r="F17" s="60"/>
      <c r="G17" s="39"/>
      <c r="H17" s="40"/>
    </row>
    <row r="18" spans="1:8" ht="12.75">
      <c r="A18" s="35" t="s">
        <v>72</v>
      </c>
      <c r="B18" s="182">
        <v>0</v>
      </c>
      <c r="C18" s="98"/>
      <c r="D18" s="41" t="s">
        <v>141</v>
      </c>
      <c r="E18" s="38"/>
      <c r="F18" s="88">
        <f>'rekenblad 2'!D35</f>
        <v>4444.307072829131</v>
      </c>
      <c r="G18" s="38" t="s">
        <v>118</v>
      </c>
      <c r="H18" s="117"/>
    </row>
    <row r="19" spans="1:8" ht="12.75">
      <c r="A19" s="35" t="s">
        <v>74</v>
      </c>
      <c r="B19" s="182">
        <v>10</v>
      </c>
      <c r="C19" s="98"/>
      <c r="D19" s="35" t="s">
        <v>142</v>
      </c>
      <c r="E19" s="32"/>
      <c r="F19" s="89">
        <f>'rekenblad 2'!D36</f>
        <v>0</v>
      </c>
      <c r="G19" s="71" t="s">
        <v>118</v>
      </c>
      <c r="H19" s="40"/>
    </row>
    <row r="20" spans="1:8" ht="12.75">
      <c r="A20" s="35" t="s">
        <v>75</v>
      </c>
      <c r="B20" s="182">
        <v>0</v>
      </c>
      <c r="C20" s="98"/>
      <c r="D20" s="34"/>
      <c r="E20" s="38"/>
      <c r="F20" s="64"/>
      <c r="G20" s="71"/>
      <c r="H20" s="40"/>
    </row>
    <row r="21" spans="1:8" ht="13.5" thickBot="1">
      <c r="A21" s="48" t="s">
        <v>76</v>
      </c>
      <c r="B21" s="112">
        <f>SUM(B18:B20)</f>
        <v>10</v>
      </c>
      <c r="C21" s="99"/>
      <c r="D21" s="34" t="s">
        <v>143</v>
      </c>
      <c r="E21" s="38"/>
      <c r="F21" s="88">
        <f>'rekenblad 2'!D24</f>
        <v>953.7</v>
      </c>
      <c r="G21" s="71" t="s">
        <v>118</v>
      </c>
      <c r="H21" s="40"/>
    </row>
    <row r="22" spans="1:8" ht="13.5" thickBot="1">
      <c r="A22" s="103" t="s">
        <v>77</v>
      </c>
      <c r="B22" s="96"/>
      <c r="C22" s="124" t="s">
        <v>171</v>
      </c>
      <c r="D22" s="75" t="s">
        <v>144</v>
      </c>
      <c r="E22" s="44"/>
      <c r="F22" s="90">
        <f>'rekenblad 2'!D33</f>
        <v>211.99292717086848</v>
      </c>
      <c r="G22" s="73" t="s">
        <v>118</v>
      </c>
      <c r="H22" s="78"/>
    </row>
    <row r="23" spans="1:8" ht="12.75">
      <c r="A23" s="195" t="s">
        <v>190</v>
      </c>
      <c r="B23" s="196"/>
      <c r="C23" s="125"/>
      <c r="D23" s="175" t="s">
        <v>145</v>
      </c>
      <c r="E23" s="119"/>
      <c r="F23" s="120"/>
      <c r="G23" s="121"/>
      <c r="H23" s="122"/>
    </row>
    <row r="24" spans="1:8" ht="12.75">
      <c r="A24" s="35" t="s">
        <v>189</v>
      </c>
      <c r="B24" s="183">
        <v>17810</v>
      </c>
      <c r="C24" s="126">
        <f>Hulpwerkblad!D8</f>
        <v>20701.567000000003</v>
      </c>
      <c r="D24" s="47" t="s">
        <v>160</v>
      </c>
      <c r="E24" s="47"/>
      <c r="F24" s="91">
        <f>F13*B30</f>
        <v>17575.510204081635</v>
      </c>
      <c r="G24" s="72" t="s">
        <v>155</v>
      </c>
      <c r="H24" s="33"/>
    </row>
    <row r="25" spans="1:8" ht="15.75">
      <c r="A25" s="35" t="s">
        <v>188</v>
      </c>
      <c r="B25" s="183">
        <v>7233</v>
      </c>
      <c r="C25" s="126">
        <f>Hulpwerkblad!D9</f>
        <v>5944.829600000001</v>
      </c>
      <c r="D25" s="47"/>
      <c r="E25" s="47"/>
      <c r="F25" s="47"/>
      <c r="G25" s="72"/>
      <c r="H25" s="33"/>
    </row>
    <row r="26" spans="1:8" ht="12.75">
      <c r="A26" s="35" t="s">
        <v>187</v>
      </c>
      <c r="B26" s="183">
        <v>5610</v>
      </c>
      <c r="C26" s="126">
        <f>Hulpwerkblad!D20</f>
        <v>3548.9083287671233</v>
      </c>
      <c r="D26" s="105" t="s">
        <v>149</v>
      </c>
      <c r="E26" s="32"/>
      <c r="F26" s="69"/>
      <c r="G26" s="71"/>
      <c r="H26" s="33"/>
    </row>
    <row r="27" spans="1:8" ht="12.75">
      <c r="A27" s="41" t="s">
        <v>78</v>
      </c>
      <c r="B27" s="184">
        <v>1.47</v>
      </c>
      <c r="C27" s="125">
        <v>2</v>
      </c>
      <c r="D27" s="38" t="s">
        <v>161</v>
      </c>
      <c r="E27" s="32"/>
      <c r="F27" s="92">
        <f>IF('rekenblad 2'!A46=1,C50*C51,0)</f>
        <v>5340</v>
      </c>
      <c r="G27" s="71" t="s">
        <v>155</v>
      </c>
      <c r="H27" s="33"/>
    </row>
    <row r="28" spans="1:8" ht="12.75">
      <c r="A28" s="35" t="s">
        <v>79</v>
      </c>
      <c r="B28" s="182">
        <v>3.57</v>
      </c>
      <c r="C28" s="125">
        <v>4.1</v>
      </c>
      <c r="D28" s="32" t="s">
        <v>162</v>
      </c>
      <c r="E28" s="32"/>
      <c r="F28" s="93">
        <f>IF('rekenblad 2'!A46=1,F16*C52,0)</f>
        <v>0</v>
      </c>
      <c r="G28" s="38" t="s">
        <v>155</v>
      </c>
      <c r="H28" s="117"/>
    </row>
    <row r="29" spans="1:8" ht="12.75">
      <c r="A29" s="35" t="s">
        <v>134</v>
      </c>
      <c r="B29" s="185">
        <v>0.46</v>
      </c>
      <c r="C29" s="127">
        <v>0.45</v>
      </c>
      <c r="D29" s="32" t="s">
        <v>163</v>
      </c>
      <c r="E29" s="32"/>
      <c r="F29" s="93">
        <f>IF('rekenblad 2'!A46=1,F16*C53,0)</f>
        <v>1122</v>
      </c>
      <c r="G29" s="38" t="s">
        <v>155</v>
      </c>
      <c r="H29" s="33"/>
    </row>
    <row r="30" spans="1:8" ht="12.75">
      <c r="A30" s="35" t="s">
        <v>148</v>
      </c>
      <c r="B30" s="182">
        <v>12</v>
      </c>
      <c r="C30" s="125">
        <v>12</v>
      </c>
      <c r="D30" s="32" t="s">
        <v>164</v>
      </c>
      <c r="E30" s="32"/>
      <c r="F30" s="93">
        <f>IF('rekenblad 2'!A46=2,F16*B41,0)</f>
        <v>0</v>
      </c>
      <c r="G30" s="38" t="s">
        <v>155</v>
      </c>
      <c r="H30" s="33"/>
    </row>
    <row r="31" spans="1:8" ht="12.75">
      <c r="A31" s="35" t="s">
        <v>80</v>
      </c>
      <c r="B31" s="182">
        <v>1.04</v>
      </c>
      <c r="C31" s="125">
        <v>1</v>
      </c>
      <c r="D31" s="32" t="s">
        <v>165</v>
      </c>
      <c r="E31" s="32"/>
      <c r="F31" s="94">
        <f>IF('rekenblad 2'!A46='rekenblad 2'!A43,C54*25,0)</f>
        <v>600</v>
      </c>
      <c r="G31" s="38" t="s">
        <v>155</v>
      </c>
      <c r="H31" s="33"/>
    </row>
    <row r="32" spans="1:8" ht="13.5" thickBot="1">
      <c r="A32" s="43" t="s">
        <v>154</v>
      </c>
      <c r="B32" s="182">
        <v>2</v>
      </c>
      <c r="C32" s="125">
        <v>3</v>
      </c>
      <c r="D32" s="32" t="s">
        <v>166</v>
      </c>
      <c r="E32" s="32"/>
      <c r="F32" s="93">
        <f>(F13-F21-F22)*B32</f>
        <v>597.8658463385352</v>
      </c>
      <c r="G32" s="38" t="s">
        <v>155</v>
      </c>
      <c r="H32" s="33"/>
    </row>
    <row r="33" spans="1:8" ht="12.75">
      <c r="A33" s="103" t="s">
        <v>91</v>
      </c>
      <c r="B33" s="172"/>
      <c r="C33" s="125"/>
      <c r="D33" s="47"/>
      <c r="E33" s="47"/>
      <c r="F33" s="47"/>
      <c r="G33" s="72"/>
      <c r="H33" s="123"/>
    </row>
    <row r="34" spans="1:8" ht="12.75">
      <c r="A34" s="35" t="s">
        <v>92</v>
      </c>
      <c r="B34" s="97"/>
      <c r="C34" s="125"/>
      <c r="D34" s="32" t="str">
        <f>"Besparing "&amp;ROUND('Uitgebreide technische uitvoer'!B88,0)&amp;" kg N uit kunstmest (-)"</f>
        <v>Besparing 5427 kg N uit kunstmest (-)</v>
      </c>
      <c r="E34" s="32"/>
      <c r="F34" s="93">
        <f>'rekenblad 2'!C40*Invoer!B31</f>
        <v>5643.691634285714</v>
      </c>
      <c r="G34" s="38" t="s">
        <v>155</v>
      </c>
      <c r="H34" s="123"/>
    </row>
    <row r="35" spans="1:8" ht="12.75">
      <c r="A35" s="190" t="s">
        <v>200</v>
      </c>
      <c r="B35" s="191"/>
      <c r="C35" s="128"/>
      <c r="D35" s="47"/>
      <c r="E35" s="47"/>
      <c r="F35" s="47"/>
      <c r="G35" s="72"/>
      <c r="H35" s="33"/>
    </row>
    <row r="36" spans="1:8" ht="12.75" hidden="1">
      <c r="A36" s="35"/>
      <c r="B36" s="173"/>
      <c r="C36" s="128"/>
      <c r="D36" s="47"/>
      <c r="E36" s="47"/>
      <c r="F36" s="47"/>
      <c r="G36" s="72"/>
      <c r="H36" s="33"/>
    </row>
    <row r="37" spans="1:8" ht="12.75" hidden="1">
      <c r="A37" s="35"/>
      <c r="B37" s="172"/>
      <c r="C37" s="128"/>
      <c r="D37" s="47"/>
      <c r="E37" s="47"/>
      <c r="F37" s="47"/>
      <c r="G37" s="72"/>
      <c r="H37" s="33"/>
    </row>
    <row r="38" spans="1:8" ht="12.75" hidden="1">
      <c r="A38" s="35"/>
      <c r="B38" s="174"/>
      <c r="C38" s="128"/>
      <c r="D38" s="47"/>
      <c r="E38" s="47"/>
      <c r="F38" s="47"/>
      <c r="G38" s="72"/>
      <c r="H38" s="33"/>
    </row>
    <row r="39" spans="1:8" ht="12.75" hidden="1">
      <c r="A39" s="35"/>
      <c r="B39" s="172"/>
      <c r="C39" s="128"/>
      <c r="D39" s="32"/>
      <c r="E39" s="32"/>
      <c r="F39" s="76"/>
      <c r="G39" s="38"/>
      <c r="H39" s="33"/>
    </row>
    <row r="40" spans="1:8" ht="15.75" customHeight="1">
      <c r="A40" s="35" t="s">
        <v>153</v>
      </c>
      <c r="B40" s="97"/>
      <c r="C40" s="125"/>
      <c r="D40" s="32" t="s">
        <v>167</v>
      </c>
      <c r="E40" s="32"/>
      <c r="F40" s="93">
        <f>F21*B46</f>
        <v>11444.400000000001</v>
      </c>
      <c r="G40" s="38" t="s">
        <v>155</v>
      </c>
      <c r="H40" s="33"/>
    </row>
    <row r="41" spans="1:8" ht="13.5" thickBot="1">
      <c r="A41" s="130">
        <f>IF('rekenblad 2'!A46=2,"Kosten loonwerk mest scheiden per ton","")</f>
      </c>
      <c r="B41" s="182" t="str">
        <f>IF('rekenblad 2'!A46=2,3,"-")</f>
        <v>-</v>
      </c>
      <c r="C41" s="125" t="str">
        <f>IF('rekenblad 2'!A46=2,3,"-")</f>
        <v>-</v>
      </c>
      <c r="D41" s="32" t="s">
        <v>168</v>
      </c>
      <c r="E41" s="32"/>
      <c r="F41" s="95">
        <f>F22*B47</f>
        <v>2543.915126050422</v>
      </c>
      <c r="G41" s="75" t="s">
        <v>155</v>
      </c>
      <c r="H41" s="33"/>
    </row>
    <row r="42" spans="1:8" ht="12.75">
      <c r="A42" s="35" t="s">
        <v>105</v>
      </c>
      <c r="B42" s="178">
        <f>VLOOKUP('Kenmerken mestscheider'!A8,'Kenmerken mestscheider'!A3:J6,3,FALSE)</f>
        <v>170</v>
      </c>
      <c r="C42" s="125"/>
      <c r="D42" s="32"/>
      <c r="E42" s="32"/>
      <c r="F42" s="61"/>
      <c r="G42" s="38"/>
      <c r="H42" s="33"/>
    </row>
    <row r="43" spans="1:8" ht="12.75">
      <c r="A43" s="35" t="s">
        <v>106</v>
      </c>
      <c r="B43" s="179">
        <f>VLOOKUP('Kenmerken mestscheider'!A8,'Kenmerken mestscheider'!A3:J6,5,FALSE)</f>
        <v>0.2</v>
      </c>
      <c r="C43" s="127"/>
      <c r="D43" s="32" t="s">
        <v>169</v>
      </c>
      <c r="E43" s="32"/>
      <c r="F43" s="87">
        <f>F27+F28+F29+F30+F32-F34+F40+F41+F31</f>
        <v>16004.489338103245</v>
      </c>
      <c r="G43" s="38" t="s">
        <v>155</v>
      </c>
      <c r="H43" s="33"/>
    </row>
    <row r="44" spans="1:8" ht="13.5" thickBot="1">
      <c r="A44" s="35" t="s">
        <v>107</v>
      </c>
      <c r="B44" s="179">
        <f>VLOOKUP('Kenmerken mestscheider'!A8,'Kenmerken mestscheider'!A3:J6,6,FALSE)</f>
        <v>0.3</v>
      </c>
      <c r="C44" s="127"/>
      <c r="D44" s="32"/>
      <c r="E44" s="32"/>
      <c r="F44" s="69"/>
      <c r="G44" s="38"/>
      <c r="H44" s="33"/>
    </row>
    <row r="45" spans="1:8" ht="13.5" thickBot="1">
      <c r="A45" s="35" t="s">
        <v>186</v>
      </c>
      <c r="B45" s="179">
        <v>0.8</v>
      </c>
      <c r="C45" s="127"/>
      <c r="D45" s="105" t="s">
        <v>170</v>
      </c>
      <c r="E45" s="86"/>
      <c r="F45" s="111">
        <f>F24-F43</f>
        <v>1571.0208659783893</v>
      </c>
      <c r="G45" s="105" t="s">
        <v>155</v>
      </c>
      <c r="H45" s="33"/>
    </row>
    <row r="46" spans="1:8" ht="13.5" thickBot="1">
      <c r="A46" s="35" t="s">
        <v>147</v>
      </c>
      <c r="B46" s="186">
        <v>12</v>
      </c>
      <c r="C46" s="129"/>
      <c r="D46" s="176"/>
      <c r="E46" s="47"/>
      <c r="F46" s="47"/>
      <c r="G46" s="42"/>
      <c r="H46" s="33"/>
    </row>
    <row r="47" spans="1:8" ht="13.5" thickBot="1">
      <c r="A47" s="55" t="s">
        <v>146</v>
      </c>
      <c r="B47" s="187">
        <v>12</v>
      </c>
      <c r="C47" s="129"/>
      <c r="D47" s="32"/>
      <c r="E47" s="79" t="str">
        <f>IF(F45&gt;0,"Mest scheiden levert op uw bedrijf voordeel op!","Mest scheiden levert op uw bedrijf geen voordeel op")</f>
        <v>Mest scheiden levert op uw bedrijf voordeel op!</v>
      </c>
      <c r="F47" s="169"/>
      <c r="G47" s="170"/>
      <c r="H47" s="33"/>
    </row>
    <row r="48" spans="1:8" ht="13.5" thickBot="1">
      <c r="A48" s="58"/>
      <c r="B48" s="143"/>
      <c r="C48" s="177"/>
      <c r="D48" s="143"/>
      <c r="E48" s="143"/>
      <c r="F48" s="143"/>
      <c r="G48" s="171"/>
      <c r="H48" s="144"/>
    </row>
    <row r="49" spans="1:8" ht="12.75">
      <c r="A49" s="63"/>
      <c r="B49" s="63"/>
      <c r="C49" s="83"/>
      <c r="D49" s="63"/>
      <c r="E49" s="63"/>
      <c r="F49" s="63"/>
      <c r="G49" s="84"/>
      <c r="H49" s="63"/>
    </row>
    <row r="50" spans="1:8" ht="12.75" hidden="1">
      <c r="A50" s="35" t="s">
        <v>185</v>
      </c>
      <c r="B50" s="63"/>
      <c r="C50" s="107">
        <f>VLOOKUP('Kenmerken mestscheider'!A8,'Kenmerken mestscheider'!A3:J6,7,FALSE)</f>
        <v>30000</v>
      </c>
      <c r="D50" s="63"/>
      <c r="E50" s="63"/>
      <c r="F50" s="63"/>
      <c r="G50" s="84"/>
      <c r="H50" s="63"/>
    </row>
    <row r="51" spans="1:8" ht="12.75" hidden="1">
      <c r="A51" s="35" t="s">
        <v>104</v>
      </c>
      <c r="B51" s="63"/>
      <c r="C51" s="108">
        <f>VLOOKUP('Kenmerken mestscheider'!A8,'Kenmerken mestscheider'!A3:J6,8,FALSE)</f>
        <v>0.178</v>
      </c>
      <c r="D51" s="63"/>
      <c r="E51" s="63"/>
      <c r="F51" s="63"/>
      <c r="G51" s="84"/>
      <c r="H51" s="63"/>
    </row>
    <row r="52" spans="1:8" ht="12.75" hidden="1">
      <c r="A52" s="35" t="s">
        <v>108</v>
      </c>
      <c r="B52" s="63"/>
      <c r="C52" s="107">
        <f>VLOOKUP('Kenmerken mestscheider'!A8,'Kenmerken mestscheider'!A3:J6,9,FALSE)</f>
        <v>0</v>
      </c>
      <c r="D52" s="63"/>
      <c r="E52" s="63"/>
      <c r="F52" s="63"/>
      <c r="G52" s="84"/>
      <c r="H52" s="63"/>
    </row>
    <row r="53" spans="1:8" ht="12.75" hidden="1">
      <c r="A53" s="35" t="s">
        <v>109</v>
      </c>
      <c r="B53" s="63"/>
      <c r="C53" s="109">
        <f>VLOOKUP('Kenmerken mestscheider'!A8,'Kenmerken mestscheider'!A3:J6,10,FALSE)</f>
        <v>0.2</v>
      </c>
      <c r="D53" s="63"/>
      <c r="E53" s="63"/>
      <c r="F53" s="63"/>
      <c r="G53" s="84"/>
      <c r="H53" s="63"/>
    </row>
    <row r="54" spans="1:8" ht="12.75" hidden="1">
      <c r="A54" s="35" t="s">
        <v>184</v>
      </c>
      <c r="B54" s="63"/>
      <c r="C54" s="107">
        <v>24</v>
      </c>
      <c r="D54" s="63"/>
      <c r="E54" s="63"/>
      <c r="F54" s="63"/>
      <c r="G54" s="84"/>
      <c r="H54" s="63"/>
    </row>
    <row r="55" spans="1:8" ht="12.75">
      <c r="A55" s="63"/>
      <c r="B55" s="63"/>
      <c r="C55" s="83"/>
      <c r="D55" s="63"/>
      <c r="E55" s="63"/>
      <c r="F55" s="63"/>
      <c r="G55" s="84"/>
      <c r="H55" s="63"/>
    </row>
    <row r="56" spans="1:8" ht="12.75">
      <c r="A56" s="63"/>
      <c r="B56" s="63"/>
      <c r="C56" s="83"/>
      <c r="D56" s="63"/>
      <c r="E56" s="63"/>
      <c r="F56" s="63"/>
      <c r="G56" s="84"/>
      <c r="H56" s="63"/>
    </row>
    <row r="57" spans="1:8" ht="12.75">
      <c r="A57" s="63"/>
      <c r="B57" s="63"/>
      <c r="C57" s="83"/>
      <c r="D57" s="63"/>
      <c r="E57" s="63"/>
      <c r="F57" s="63"/>
      <c r="G57" s="84"/>
      <c r="H57" s="63"/>
    </row>
    <row r="58" spans="1:8" ht="12.75">
      <c r="A58" s="63"/>
      <c r="B58" s="63"/>
      <c r="C58" s="83"/>
      <c r="D58" s="63"/>
      <c r="E58" s="63"/>
      <c r="F58" s="63"/>
      <c r="G58" s="84"/>
      <c r="H58" s="63"/>
    </row>
    <row r="59" spans="1:8" ht="12.75">
      <c r="A59" s="63"/>
      <c r="B59" s="63"/>
      <c r="C59" s="83"/>
      <c r="D59" s="63"/>
      <c r="E59" s="63"/>
      <c r="F59" s="63"/>
      <c r="G59" s="84"/>
      <c r="H59" s="63"/>
    </row>
    <row r="60" spans="1:8" ht="12.75">
      <c r="A60" s="63"/>
      <c r="B60" s="63"/>
      <c r="C60" s="83"/>
      <c r="D60" s="63"/>
      <c r="E60" s="63"/>
      <c r="F60" s="63"/>
      <c r="G60" s="84"/>
      <c r="H60" s="63"/>
    </row>
    <row r="61" spans="1:8" ht="12.75">
      <c r="A61" s="63"/>
      <c r="B61" s="63"/>
      <c r="C61" s="83"/>
      <c r="D61" s="63"/>
      <c r="E61" s="63"/>
      <c r="F61" s="63"/>
      <c r="G61" s="84"/>
      <c r="H61" s="63"/>
    </row>
    <row r="62" spans="1:8" ht="12.75">
      <c r="A62" s="63"/>
      <c r="B62" s="63"/>
      <c r="C62" s="83"/>
      <c r="D62" s="63"/>
      <c r="E62" s="63"/>
      <c r="F62" s="63"/>
      <c r="G62" s="84"/>
      <c r="H62" s="63"/>
    </row>
    <row r="63" spans="1:8" ht="12.75">
      <c r="A63" s="63"/>
      <c r="B63" s="63"/>
      <c r="C63" s="83"/>
      <c r="D63" s="63"/>
      <c r="E63" s="63"/>
      <c r="F63" s="63"/>
      <c r="G63" s="84"/>
      <c r="H63" s="63"/>
    </row>
    <row r="64" spans="1:8" ht="12.75">
      <c r="A64" s="63"/>
      <c r="B64" s="63"/>
      <c r="C64" s="83"/>
      <c r="D64" s="63"/>
      <c r="E64" s="63"/>
      <c r="F64" s="63"/>
      <c r="G64" s="84"/>
      <c r="H64" s="63"/>
    </row>
    <row r="65" spans="1:8" ht="12.75">
      <c r="A65" s="63"/>
      <c r="B65" s="63"/>
      <c r="C65" s="83"/>
      <c r="D65" s="63"/>
      <c r="E65" s="63"/>
      <c r="F65" s="63"/>
      <c r="G65" s="84"/>
      <c r="H65" s="63"/>
    </row>
    <row r="66" spans="1:8" ht="12.75">
      <c r="A66" s="63"/>
      <c r="B66" s="63"/>
      <c r="C66" s="83"/>
      <c r="D66" s="63"/>
      <c r="E66" s="63"/>
      <c r="F66" s="63"/>
      <c r="G66" s="84"/>
      <c r="H66" s="63"/>
    </row>
    <row r="67" spans="1:8" ht="12.75">
      <c r="A67" s="63"/>
      <c r="B67" s="63"/>
      <c r="C67" s="83"/>
      <c r="D67" s="63"/>
      <c r="E67" s="63"/>
      <c r="F67" s="63"/>
      <c r="G67" s="84"/>
      <c r="H67" s="63"/>
    </row>
    <row r="68" spans="1:8" ht="12.75">
      <c r="A68" s="63"/>
      <c r="B68" s="63"/>
      <c r="C68" s="83"/>
      <c r="D68" s="63"/>
      <c r="E68" s="63"/>
      <c r="F68" s="63"/>
      <c r="G68" s="84"/>
      <c r="H68" s="63"/>
    </row>
    <row r="69" spans="1:8" ht="12.75">
      <c r="A69" s="63"/>
      <c r="B69" s="63"/>
      <c r="C69" s="83"/>
      <c r="D69" s="63"/>
      <c r="E69" s="63"/>
      <c r="F69" s="63"/>
      <c r="G69" s="84"/>
      <c r="H69" s="63"/>
    </row>
    <row r="70" spans="1:8" ht="12.75">
      <c r="A70" s="63"/>
      <c r="B70" s="63"/>
      <c r="C70" s="83"/>
      <c r="D70" s="63"/>
      <c r="E70" s="63"/>
      <c r="F70" s="63"/>
      <c r="G70" s="84"/>
      <c r="H70" s="63"/>
    </row>
    <row r="71" spans="1:8" ht="12.75">
      <c r="A71" s="63"/>
      <c r="B71" s="63"/>
      <c r="C71" s="83"/>
      <c r="D71" s="63"/>
      <c r="E71" s="63"/>
      <c r="F71" s="63"/>
      <c r="G71" s="84"/>
      <c r="H71" s="63"/>
    </row>
    <row r="72" spans="1:8" ht="12.75">
      <c r="A72" s="63"/>
      <c r="B72" s="63"/>
      <c r="C72" s="83"/>
      <c r="D72" s="63"/>
      <c r="E72" s="63"/>
      <c r="F72" s="63"/>
      <c r="G72" s="84"/>
      <c r="H72" s="63"/>
    </row>
    <row r="73" spans="1:8" ht="12.75">
      <c r="A73" s="63"/>
      <c r="B73" s="63"/>
      <c r="C73" s="83"/>
      <c r="D73" s="63"/>
      <c r="E73" s="63"/>
      <c r="F73" s="63"/>
      <c r="G73" s="84"/>
      <c r="H73" s="63"/>
    </row>
    <row r="74" spans="1:8" ht="12.75">
      <c r="A74" s="63"/>
      <c r="B74" s="63"/>
      <c r="C74" s="83"/>
      <c r="D74" s="63"/>
      <c r="E74" s="63"/>
      <c r="F74" s="63"/>
      <c r="G74" s="84"/>
      <c r="H74" s="63"/>
    </row>
    <row r="75" spans="1:8" ht="12.75">
      <c r="A75" s="63"/>
      <c r="B75" s="63"/>
      <c r="C75" s="83"/>
      <c r="D75" s="63"/>
      <c r="E75" s="63"/>
      <c r="F75" s="63"/>
      <c r="G75" s="84"/>
      <c r="H75" s="63"/>
    </row>
    <row r="76" spans="1:8" ht="12.75">
      <c r="A76" s="63"/>
      <c r="B76" s="63"/>
      <c r="C76" s="83"/>
      <c r="D76" s="63"/>
      <c r="E76" s="63"/>
      <c r="F76" s="63"/>
      <c r="G76" s="84"/>
      <c r="H76" s="63"/>
    </row>
    <row r="77" spans="1:8" ht="12.75">
      <c r="A77" s="63"/>
      <c r="B77" s="63"/>
      <c r="C77" s="83"/>
      <c r="D77" s="63"/>
      <c r="E77" s="63"/>
      <c r="F77" s="63"/>
      <c r="G77" s="84"/>
      <c r="H77" s="63"/>
    </row>
    <row r="78" spans="1:8" ht="12.75">
      <c r="A78" s="63"/>
      <c r="B78" s="63"/>
      <c r="C78" s="83"/>
      <c r="D78" s="63"/>
      <c r="E78" s="63"/>
      <c r="F78" s="63"/>
      <c r="G78" s="84"/>
      <c r="H78" s="63"/>
    </row>
    <row r="79" spans="1:8" ht="12.75">
      <c r="A79" s="63"/>
      <c r="B79" s="63"/>
      <c r="C79" s="83"/>
      <c r="D79" s="63"/>
      <c r="E79" s="63"/>
      <c r="F79" s="63"/>
      <c r="G79" s="84"/>
      <c r="H79" s="63"/>
    </row>
    <row r="80" spans="1:8" ht="12.75">
      <c r="A80" s="63"/>
      <c r="B80" s="63"/>
      <c r="C80" s="83"/>
      <c r="D80" s="63"/>
      <c r="E80" s="63"/>
      <c r="F80" s="63"/>
      <c r="G80" s="84"/>
      <c r="H80" s="63"/>
    </row>
    <row r="81" spans="3:7" s="63" customFormat="1" ht="12.75">
      <c r="C81" s="83"/>
      <c r="G81" s="84"/>
    </row>
    <row r="82" spans="3:7" s="63" customFormat="1" ht="12.75">
      <c r="C82" s="83"/>
      <c r="G82" s="84"/>
    </row>
    <row r="83" spans="3:7" s="63" customFormat="1" ht="12.75">
      <c r="C83" s="83"/>
      <c r="G83" s="84"/>
    </row>
    <row r="84" spans="3:7" s="63" customFormat="1" ht="12.75">
      <c r="C84" s="83"/>
      <c r="G84" s="84"/>
    </row>
    <row r="85" spans="3:7" s="63" customFormat="1" ht="12.75">
      <c r="C85" s="83"/>
      <c r="G85" s="84"/>
    </row>
    <row r="86" spans="3:7" s="63" customFormat="1" ht="12.75">
      <c r="C86" s="83"/>
      <c r="G86" s="84"/>
    </row>
    <row r="87" spans="3:7" s="63" customFormat="1" ht="12.75">
      <c r="C87" s="83"/>
      <c r="G87" s="84"/>
    </row>
    <row r="88" spans="3:7" s="63" customFormat="1" ht="12.75">
      <c r="C88" s="83"/>
      <c r="G88" s="84"/>
    </row>
    <row r="89" spans="3:7" s="63" customFormat="1" ht="12.75">
      <c r="C89" s="83"/>
      <c r="G89" s="84"/>
    </row>
    <row r="90" spans="3:7" s="63" customFormat="1" ht="12.75">
      <c r="C90" s="83"/>
      <c r="G90" s="84"/>
    </row>
    <row r="91" spans="3:7" s="63" customFormat="1" ht="12.75">
      <c r="C91" s="83"/>
      <c r="G91" s="84"/>
    </row>
    <row r="92" spans="3:7" s="63" customFormat="1" ht="12.75">
      <c r="C92" s="83"/>
      <c r="G92" s="84"/>
    </row>
    <row r="93" spans="3:7" s="63" customFormat="1" ht="12.75">
      <c r="C93" s="83"/>
      <c r="G93" s="84"/>
    </row>
    <row r="94" spans="3:7" s="63" customFormat="1" ht="12.75">
      <c r="C94" s="83"/>
      <c r="G94" s="84"/>
    </row>
    <row r="95" spans="3:7" s="63" customFormat="1" ht="12.75">
      <c r="C95" s="83"/>
      <c r="G95" s="84"/>
    </row>
    <row r="96" spans="3:7" s="63" customFormat="1" ht="12.75">
      <c r="C96" s="83"/>
      <c r="G96" s="84"/>
    </row>
    <row r="97" spans="3:7" s="63" customFormat="1" ht="12.75">
      <c r="C97" s="83"/>
      <c r="G97" s="84"/>
    </row>
    <row r="98" spans="3:7" s="63" customFormat="1" ht="12.75">
      <c r="C98" s="83"/>
      <c r="G98" s="84"/>
    </row>
    <row r="99" spans="3:7" s="63" customFormat="1" ht="12.75">
      <c r="C99" s="83"/>
      <c r="G99" s="84"/>
    </row>
    <row r="100" spans="3:7" s="63" customFormat="1" ht="12.75">
      <c r="C100" s="83"/>
      <c r="G100" s="84"/>
    </row>
    <row r="101" spans="3:7" s="63" customFormat="1" ht="12.75">
      <c r="C101" s="83"/>
      <c r="G101" s="84"/>
    </row>
    <row r="102" spans="3:7" s="63" customFormat="1" ht="12.75">
      <c r="C102" s="83"/>
      <c r="G102" s="84"/>
    </row>
    <row r="103" spans="3:7" s="63" customFormat="1" ht="12.75">
      <c r="C103" s="83"/>
      <c r="G103" s="84"/>
    </row>
    <row r="104" spans="3:7" s="63" customFormat="1" ht="12.75">
      <c r="C104" s="83"/>
      <c r="G104" s="84"/>
    </row>
    <row r="105" spans="3:7" s="63" customFormat="1" ht="12.75">
      <c r="C105" s="83"/>
      <c r="G105" s="84"/>
    </row>
    <row r="106" spans="3:7" s="63" customFormat="1" ht="12.75">
      <c r="C106" s="83"/>
      <c r="G106" s="84"/>
    </row>
    <row r="107" spans="3:7" s="63" customFormat="1" ht="12.75">
      <c r="C107" s="83"/>
      <c r="G107" s="84"/>
    </row>
    <row r="108" spans="3:7" s="63" customFormat="1" ht="12.75">
      <c r="C108" s="83"/>
      <c r="G108" s="84"/>
    </row>
    <row r="109" spans="3:7" s="63" customFormat="1" ht="12.75">
      <c r="C109" s="83"/>
      <c r="G109" s="84"/>
    </row>
    <row r="110" spans="3:7" s="63" customFormat="1" ht="12.75">
      <c r="C110" s="83"/>
      <c r="G110" s="84"/>
    </row>
    <row r="111" spans="3:7" s="63" customFormat="1" ht="12.75">
      <c r="C111" s="83"/>
      <c r="G111" s="84"/>
    </row>
    <row r="112" spans="3:7" s="63" customFormat="1" ht="12.75">
      <c r="C112" s="83"/>
      <c r="G112" s="84"/>
    </row>
    <row r="113" spans="3:7" s="63" customFormat="1" ht="12.75">
      <c r="C113" s="83"/>
      <c r="G113" s="84"/>
    </row>
    <row r="114" spans="3:7" s="63" customFormat="1" ht="12.75">
      <c r="C114" s="83"/>
      <c r="G114" s="84"/>
    </row>
    <row r="115" spans="3:7" s="63" customFormat="1" ht="12.75">
      <c r="C115" s="83"/>
      <c r="G115" s="84"/>
    </row>
    <row r="116" spans="3:7" s="63" customFormat="1" ht="12.75">
      <c r="C116" s="83"/>
      <c r="G116" s="84"/>
    </row>
    <row r="117" spans="3:7" s="63" customFormat="1" ht="12.75">
      <c r="C117" s="83"/>
      <c r="G117" s="84"/>
    </row>
    <row r="118" spans="3:7" s="63" customFormat="1" ht="12.75">
      <c r="C118" s="83"/>
      <c r="G118" s="84"/>
    </row>
    <row r="119" spans="3:7" s="63" customFormat="1" ht="12.75">
      <c r="C119" s="83"/>
      <c r="G119" s="84"/>
    </row>
    <row r="120" spans="3:7" s="63" customFormat="1" ht="12.75">
      <c r="C120" s="83"/>
      <c r="G120" s="84"/>
    </row>
    <row r="121" spans="3:7" s="63" customFormat="1" ht="12.75">
      <c r="C121" s="83"/>
      <c r="G121" s="84"/>
    </row>
    <row r="122" spans="3:7" s="63" customFormat="1" ht="12.75">
      <c r="C122" s="83"/>
      <c r="G122" s="84"/>
    </row>
    <row r="123" spans="3:7" s="63" customFormat="1" ht="12.75">
      <c r="C123" s="83"/>
      <c r="G123" s="84"/>
    </row>
    <row r="124" spans="3:7" s="63" customFormat="1" ht="12.75">
      <c r="C124" s="83"/>
      <c r="G124" s="84"/>
    </row>
    <row r="125" spans="3:7" s="63" customFormat="1" ht="12.75">
      <c r="C125" s="83"/>
      <c r="G125" s="84"/>
    </row>
    <row r="126" spans="3:7" s="63" customFormat="1" ht="12.75">
      <c r="C126" s="83"/>
      <c r="G126" s="84"/>
    </row>
    <row r="127" spans="3:7" s="63" customFormat="1" ht="12.75">
      <c r="C127" s="83"/>
      <c r="G127" s="84"/>
    </row>
    <row r="128" spans="3:7" s="63" customFormat="1" ht="12.75">
      <c r="C128" s="83"/>
      <c r="G128" s="84"/>
    </row>
    <row r="129" spans="3:7" s="63" customFormat="1" ht="12.75">
      <c r="C129" s="83"/>
      <c r="G129" s="84"/>
    </row>
    <row r="130" spans="3:7" s="63" customFormat="1" ht="12.75">
      <c r="C130" s="83"/>
      <c r="G130" s="84"/>
    </row>
    <row r="131" spans="3:7" s="63" customFormat="1" ht="12.75">
      <c r="C131" s="83"/>
      <c r="G131" s="84"/>
    </row>
    <row r="132" spans="3:7" s="63" customFormat="1" ht="12.75">
      <c r="C132" s="83"/>
      <c r="G132" s="84"/>
    </row>
    <row r="133" spans="3:7" s="63" customFormat="1" ht="12.75">
      <c r="C133" s="83"/>
      <c r="G133" s="84"/>
    </row>
    <row r="134" spans="3:7" s="63" customFormat="1" ht="12.75">
      <c r="C134" s="83"/>
      <c r="G134" s="84"/>
    </row>
    <row r="135" spans="3:7" s="63" customFormat="1" ht="12.75">
      <c r="C135" s="83"/>
      <c r="G135" s="84"/>
    </row>
    <row r="136" spans="3:7" s="63" customFormat="1" ht="12.75">
      <c r="C136" s="83"/>
      <c r="G136" s="84"/>
    </row>
    <row r="137" spans="3:7" s="63" customFormat="1" ht="12.75">
      <c r="C137" s="83"/>
      <c r="G137" s="84"/>
    </row>
    <row r="138" spans="3:7" s="63" customFormat="1" ht="12.75">
      <c r="C138" s="83"/>
      <c r="G138" s="84"/>
    </row>
    <row r="139" spans="3:7" s="63" customFormat="1" ht="12.75">
      <c r="C139" s="83"/>
      <c r="G139" s="84"/>
    </row>
    <row r="140" spans="3:7" s="63" customFormat="1" ht="12.75">
      <c r="C140" s="83"/>
      <c r="G140" s="84"/>
    </row>
    <row r="141" spans="3:7" s="63" customFormat="1" ht="12.75">
      <c r="C141" s="83"/>
      <c r="G141" s="84"/>
    </row>
    <row r="142" spans="3:7" s="63" customFormat="1" ht="12.75">
      <c r="C142" s="83"/>
      <c r="G142" s="84"/>
    </row>
    <row r="143" spans="3:7" s="63" customFormat="1" ht="12.75">
      <c r="C143" s="83"/>
      <c r="G143" s="84"/>
    </row>
    <row r="144" spans="3:7" s="63" customFormat="1" ht="12.75">
      <c r="C144" s="83"/>
      <c r="G144" s="84"/>
    </row>
    <row r="145" spans="3:7" s="63" customFormat="1" ht="12.75">
      <c r="C145" s="83"/>
      <c r="G145" s="84"/>
    </row>
    <row r="146" spans="3:7" s="63" customFormat="1" ht="12.75">
      <c r="C146" s="83"/>
      <c r="G146" s="84"/>
    </row>
    <row r="147" spans="3:7" s="63" customFormat="1" ht="12.75">
      <c r="C147" s="83"/>
      <c r="G147" s="84"/>
    </row>
    <row r="148" spans="3:7" s="63" customFormat="1" ht="12.75">
      <c r="C148" s="83"/>
      <c r="G148" s="84"/>
    </row>
    <row r="149" spans="3:7" s="63" customFormat="1" ht="12.75">
      <c r="C149" s="83"/>
      <c r="G149" s="84"/>
    </row>
    <row r="150" spans="3:7" s="63" customFormat="1" ht="12.75">
      <c r="C150" s="83"/>
      <c r="G150" s="84"/>
    </row>
    <row r="151" spans="3:7" s="63" customFormat="1" ht="12.75">
      <c r="C151" s="83"/>
      <c r="G151" s="84"/>
    </row>
    <row r="152" spans="3:7" s="63" customFormat="1" ht="12.75">
      <c r="C152" s="83"/>
      <c r="G152" s="84"/>
    </row>
    <row r="153" spans="3:7" s="63" customFormat="1" ht="12.75">
      <c r="C153" s="83"/>
      <c r="G153" s="84"/>
    </row>
    <row r="154" spans="3:7" s="63" customFormat="1" ht="12.75">
      <c r="C154" s="83"/>
      <c r="G154" s="84"/>
    </row>
    <row r="155" spans="3:7" s="63" customFormat="1" ht="12.75">
      <c r="C155" s="83"/>
      <c r="G155" s="84"/>
    </row>
    <row r="156" spans="3:7" s="63" customFormat="1" ht="12.75">
      <c r="C156" s="83"/>
      <c r="G156" s="84"/>
    </row>
    <row r="157" spans="3:7" s="63" customFormat="1" ht="12.75">
      <c r="C157" s="83"/>
      <c r="G157" s="84"/>
    </row>
    <row r="158" spans="3:7" s="63" customFormat="1" ht="12.75">
      <c r="C158" s="83"/>
      <c r="G158" s="84"/>
    </row>
    <row r="159" spans="3:7" s="63" customFormat="1" ht="12.75">
      <c r="C159" s="83"/>
      <c r="G159" s="84"/>
    </row>
    <row r="160" spans="3:7" s="63" customFormat="1" ht="12.75">
      <c r="C160" s="83"/>
      <c r="G160" s="84"/>
    </row>
    <row r="161" spans="3:7" s="63" customFormat="1" ht="12.75">
      <c r="C161" s="83"/>
      <c r="G161" s="84"/>
    </row>
    <row r="162" spans="3:7" s="63" customFormat="1" ht="12.75">
      <c r="C162" s="83"/>
      <c r="G162" s="84"/>
    </row>
    <row r="163" spans="3:7" s="63" customFormat="1" ht="12.75">
      <c r="C163" s="83"/>
      <c r="G163" s="84"/>
    </row>
    <row r="164" spans="3:7" s="63" customFormat="1" ht="12.75">
      <c r="C164" s="83"/>
      <c r="G164" s="84"/>
    </row>
    <row r="165" spans="3:7" s="63" customFormat="1" ht="12.75">
      <c r="C165" s="83"/>
      <c r="G165" s="84"/>
    </row>
    <row r="166" spans="3:7" s="63" customFormat="1" ht="12.75">
      <c r="C166" s="83"/>
      <c r="G166" s="84"/>
    </row>
    <row r="167" spans="3:7" s="63" customFormat="1" ht="12.75">
      <c r="C167" s="83"/>
      <c r="G167" s="84"/>
    </row>
    <row r="168" spans="3:7" s="63" customFormat="1" ht="12.75">
      <c r="C168" s="83"/>
      <c r="G168" s="84"/>
    </row>
    <row r="169" spans="3:7" s="63" customFormat="1" ht="12.75">
      <c r="C169" s="83"/>
      <c r="G169" s="84"/>
    </row>
    <row r="170" spans="3:7" s="63" customFormat="1" ht="12.75">
      <c r="C170" s="83"/>
      <c r="G170" s="84"/>
    </row>
    <row r="171" spans="3:7" s="63" customFormat="1" ht="12.75">
      <c r="C171" s="83"/>
      <c r="G171" s="84"/>
    </row>
    <row r="172" spans="3:7" s="63" customFormat="1" ht="12.75">
      <c r="C172" s="83"/>
      <c r="G172" s="84"/>
    </row>
    <row r="173" spans="3:7" s="63" customFormat="1" ht="12.75">
      <c r="C173" s="83"/>
      <c r="G173" s="84"/>
    </row>
    <row r="174" spans="3:7" s="63" customFormat="1" ht="12.75">
      <c r="C174" s="83"/>
      <c r="G174" s="84"/>
    </row>
    <row r="175" spans="3:7" s="63" customFormat="1" ht="12.75">
      <c r="C175" s="83"/>
      <c r="G175" s="84"/>
    </row>
    <row r="176" spans="3:7" s="63" customFormat="1" ht="12.75">
      <c r="C176" s="83"/>
      <c r="G176" s="84"/>
    </row>
    <row r="177" spans="3:7" s="63" customFormat="1" ht="12.75">
      <c r="C177" s="83"/>
      <c r="G177" s="84"/>
    </row>
    <row r="178" spans="3:7" s="63" customFormat="1" ht="12.75">
      <c r="C178" s="83"/>
      <c r="G178" s="84"/>
    </row>
    <row r="179" spans="3:7" s="63" customFormat="1" ht="12.75">
      <c r="C179" s="83"/>
      <c r="G179" s="84"/>
    </row>
    <row r="180" spans="3:7" s="63" customFormat="1" ht="12.75">
      <c r="C180" s="83"/>
      <c r="G180" s="84"/>
    </row>
    <row r="181" spans="3:7" s="63" customFormat="1" ht="12.75">
      <c r="C181" s="83"/>
      <c r="G181" s="84"/>
    </row>
    <row r="182" spans="3:7" s="63" customFormat="1" ht="12.75">
      <c r="C182" s="83"/>
      <c r="G182" s="84"/>
    </row>
    <row r="183" spans="3:7" s="63" customFormat="1" ht="12.75">
      <c r="C183" s="83"/>
      <c r="G183" s="84"/>
    </row>
    <row r="184" spans="3:7" s="63" customFormat="1" ht="12.75">
      <c r="C184" s="83"/>
      <c r="G184" s="84"/>
    </row>
    <row r="185" spans="3:7" s="63" customFormat="1" ht="12.75">
      <c r="C185" s="83"/>
      <c r="G185" s="84"/>
    </row>
    <row r="186" spans="3:7" s="63" customFormat="1" ht="12.75">
      <c r="C186" s="83"/>
      <c r="G186" s="84"/>
    </row>
    <row r="187" spans="3:7" s="63" customFormat="1" ht="12.75">
      <c r="C187" s="83"/>
      <c r="G187" s="84"/>
    </row>
    <row r="188" spans="3:7" s="63" customFormat="1" ht="12.75">
      <c r="C188" s="83"/>
      <c r="G188" s="84"/>
    </row>
    <row r="189" spans="3:7" s="63" customFormat="1" ht="12.75">
      <c r="C189" s="83"/>
      <c r="G189" s="84"/>
    </row>
    <row r="190" spans="3:7" s="63" customFormat="1" ht="12.75">
      <c r="C190" s="83"/>
      <c r="G190" s="84"/>
    </row>
    <row r="191" spans="3:7" s="63" customFormat="1" ht="12.75">
      <c r="C191" s="83"/>
      <c r="G191" s="84"/>
    </row>
    <row r="192" spans="3:7" s="63" customFormat="1" ht="12.75">
      <c r="C192" s="83"/>
      <c r="G192" s="84"/>
    </row>
    <row r="193" spans="3:7" s="63" customFormat="1" ht="12.75">
      <c r="C193" s="83"/>
      <c r="G193" s="84"/>
    </row>
    <row r="194" spans="3:7" s="63" customFormat="1" ht="12.75">
      <c r="C194" s="83"/>
      <c r="G194" s="84"/>
    </row>
    <row r="195" spans="3:7" s="63" customFormat="1" ht="12.75">
      <c r="C195" s="83"/>
      <c r="G195" s="84"/>
    </row>
    <row r="196" spans="3:7" s="63" customFormat="1" ht="12.75">
      <c r="C196" s="83"/>
      <c r="G196" s="84"/>
    </row>
    <row r="197" spans="3:7" s="63" customFormat="1" ht="12.75">
      <c r="C197" s="83"/>
      <c r="G197" s="84"/>
    </row>
    <row r="198" spans="3:7" s="63" customFormat="1" ht="12.75">
      <c r="C198" s="83"/>
      <c r="G198" s="84"/>
    </row>
    <row r="199" spans="3:7" s="63" customFormat="1" ht="12.75">
      <c r="C199" s="83"/>
      <c r="G199" s="84"/>
    </row>
    <row r="200" spans="3:7" s="63" customFormat="1" ht="12.75">
      <c r="C200" s="83"/>
      <c r="G200" s="84"/>
    </row>
    <row r="201" spans="3:7" s="63" customFormat="1" ht="12.75">
      <c r="C201" s="83"/>
      <c r="G201" s="84"/>
    </row>
    <row r="202" spans="3:7" s="63" customFormat="1" ht="12.75">
      <c r="C202" s="83"/>
      <c r="G202" s="84"/>
    </row>
    <row r="203" spans="3:7" s="63" customFormat="1" ht="12.75">
      <c r="C203" s="83"/>
      <c r="G203" s="84"/>
    </row>
    <row r="204" spans="3:7" s="63" customFormat="1" ht="12.75">
      <c r="C204" s="83"/>
      <c r="G204" s="84"/>
    </row>
    <row r="205" spans="3:7" s="63" customFormat="1" ht="12.75">
      <c r="C205" s="83"/>
      <c r="G205" s="84"/>
    </row>
    <row r="206" spans="3:7" s="63" customFormat="1" ht="12.75">
      <c r="C206" s="83"/>
      <c r="G206" s="84"/>
    </row>
    <row r="207" spans="3:7" s="63" customFormat="1" ht="12.75">
      <c r="C207" s="83"/>
      <c r="G207" s="84"/>
    </row>
    <row r="208" spans="3:7" s="63" customFormat="1" ht="12.75">
      <c r="C208" s="83"/>
      <c r="G208" s="84"/>
    </row>
    <row r="209" spans="3:7" s="63" customFormat="1" ht="12.75">
      <c r="C209" s="83"/>
      <c r="G209" s="84"/>
    </row>
    <row r="210" spans="3:7" s="63" customFormat="1" ht="12.75">
      <c r="C210" s="83"/>
      <c r="G210" s="84"/>
    </row>
    <row r="211" spans="3:7" s="63" customFormat="1" ht="12.75">
      <c r="C211" s="83"/>
      <c r="G211" s="84"/>
    </row>
    <row r="212" spans="3:7" s="63" customFormat="1" ht="12.75">
      <c r="C212" s="83"/>
      <c r="G212" s="84"/>
    </row>
    <row r="213" spans="3:7" s="63" customFormat="1" ht="12.75">
      <c r="C213" s="83"/>
      <c r="G213" s="84"/>
    </row>
    <row r="214" spans="3:7" s="63" customFormat="1" ht="12.75">
      <c r="C214" s="83"/>
      <c r="G214" s="84"/>
    </row>
    <row r="215" spans="3:7" s="63" customFormat="1" ht="12.75">
      <c r="C215" s="83"/>
      <c r="G215" s="84"/>
    </row>
    <row r="216" spans="3:7" s="63" customFormat="1" ht="12.75">
      <c r="C216" s="83"/>
      <c r="G216" s="84"/>
    </row>
    <row r="217" spans="3:7" s="63" customFormat="1" ht="12.75">
      <c r="C217" s="83"/>
      <c r="G217" s="84"/>
    </row>
    <row r="218" spans="3:7" s="63" customFormat="1" ht="12.75">
      <c r="C218" s="83"/>
      <c r="G218" s="84"/>
    </row>
    <row r="219" spans="3:7" s="63" customFormat="1" ht="12.75">
      <c r="C219" s="83"/>
      <c r="G219" s="84"/>
    </row>
    <row r="220" spans="3:7" s="63" customFormat="1" ht="12.75">
      <c r="C220" s="83"/>
      <c r="G220" s="84"/>
    </row>
    <row r="221" spans="3:7" s="63" customFormat="1" ht="12.75">
      <c r="C221" s="83"/>
      <c r="G221" s="84"/>
    </row>
    <row r="222" spans="3:7" s="63" customFormat="1" ht="12.75">
      <c r="C222" s="83"/>
      <c r="G222" s="84"/>
    </row>
    <row r="223" spans="3:7" s="63" customFormat="1" ht="12.75">
      <c r="C223" s="83"/>
      <c r="G223" s="84"/>
    </row>
    <row r="224" spans="3:7" s="63" customFormat="1" ht="12.75">
      <c r="C224" s="83"/>
      <c r="G224" s="84"/>
    </row>
    <row r="225" spans="3:7" s="63" customFormat="1" ht="12.75">
      <c r="C225" s="83"/>
      <c r="G225" s="84"/>
    </row>
    <row r="226" spans="3:7" s="63" customFormat="1" ht="12.75">
      <c r="C226" s="83"/>
      <c r="G226" s="84"/>
    </row>
    <row r="227" spans="3:7" s="63" customFormat="1" ht="12.75">
      <c r="C227" s="83"/>
      <c r="G227" s="84"/>
    </row>
    <row r="228" spans="3:7" s="63" customFormat="1" ht="12.75">
      <c r="C228" s="83"/>
      <c r="G228" s="84"/>
    </row>
    <row r="229" spans="3:7" s="63" customFormat="1" ht="12.75">
      <c r="C229" s="83"/>
      <c r="G229" s="84"/>
    </row>
    <row r="230" spans="3:7" s="63" customFormat="1" ht="12.75">
      <c r="C230" s="83"/>
      <c r="G230" s="84"/>
    </row>
    <row r="231" spans="3:7" s="63" customFormat="1" ht="12.75">
      <c r="C231" s="83"/>
      <c r="G231" s="84"/>
    </row>
    <row r="232" spans="3:7" s="63" customFormat="1" ht="12.75">
      <c r="C232" s="83"/>
      <c r="G232" s="84"/>
    </row>
    <row r="233" spans="3:7" s="63" customFormat="1" ht="12.75">
      <c r="C233" s="83"/>
      <c r="G233" s="84"/>
    </row>
    <row r="234" spans="3:7" s="63" customFormat="1" ht="12.75">
      <c r="C234" s="83"/>
      <c r="G234" s="84"/>
    </row>
    <row r="235" spans="3:7" s="63" customFormat="1" ht="12.75">
      <c r="C235" s="83"/>
      <c r="G235" s="84"/>
    </row>
    <row r="236" spans="3:7" s="63" customFormat="1" ht="12.75">
      <c r="C236" s="83"/>
      <c r="G236" s="84"/>
    </row>
    <row r="237" spans="3:7" s="63" customFormat="1" ht="12.75">
      <c r="C237" s="83"/>
      <c r="G237" s="84"/>
    </row>
    <row r="238" spans="3:7" s="63" customFormat="1" ht="12.75">
      <c r="C238" s="83"/>
      <c r="G238" s="84"/>
    </row>
    <row r="239" spans="3:7" s="63" customFormat="1" ht="12.75">
      <c r="C239" s="83"/>
      <c r="G239" s="84"/>
    </row>
    <row r="240" spans="3:7" s="63" customFormat="1" ht="12.75">
      <c r="C240" s="83"/>
      <c r="G240" s="84"/>
    </row>
    <row r="241" spans="3:7" s="63" customFormat="1" ht="12.75">
      <c r="C241" s="83"/>
      <c r="G241" s="84"/>
    </row>
    <row r="242" spans="3:7" s="63" customFormat="1" ht="12.75">
      <c r="C242" s="83"/>
      <c r="G242" s="84"/>
    </row>
    <row r="243" spans="3:7" s="63" customFormat="1" ht="12.75">
      <c r="C243" s="83"/>
      <c r="G243" s="84"/>
    </row>
    <row r="244" spans="3:7" s="63" customFormat="1" ht="12.75">
      <c r="C244" s="83"/>
      <c r="G244" s="84"/>
    </row>
    <row r="245" spans="3:7" s="63" customFormat="1" ht="12.75">
      <c r="C245" s="83"/>
      <c r="G245" s="84"/>
    </row>
    <row r="246" spans="3:7" s="63" customFormat="1" ht="12.75">
      <c r="C246" s="83"/>
      <c r="G246" s="84"/>
    </row>
    <row r="247" spans="3:7" s="63" customFormat="1" ht="12.75">
      <c r="C247" s="83"/>
      <c r="G247" s="84"/>
    </row>
    <row r="248" spans="3:7" s="63" customFormat="1" ht="12.75">
      <c r="C248" s="83"/>
      <c r="G248" s="84"/>
    </row>
    <row r="249" spans="3:7" s="63" customFormat="1" ht="12.75">
      <c r="C249" s="83"/>
      <c r="G249" s="84"/>
    </row>
    <row r="250" spans="3:7" s="63" customFormat="1" ht="12.75">
      <c r="C250" s="83"/>
      <c r="G250" s="84"/>
    </row>
    <row r="251" spans="3:7" s="63" customFormat="1" ht="12.75">
      <c r="C251" s="83"/>
      <c r="G251" s="84"/>
    </row>
    <row r="252" spans="3:7" s="63" customFormat="1" ht="12.75">
      <c r="C252" s="83"/>
      <c r="G252" s="84"/>
    </row>
    <row r="253" spans="3:7" s="63" customFormat="1" ht="12.75">
      <c r="C253" s="83"/>
      <c r="G253" s="84"/>
    </row>
    <row r="254" spans="3:7" s="63" customFormat="1" ht="12.75">
      <c r="C254" s="83"/>
      <c r="G254" s="84"/>
    </row>
    <row r="255" spans="3:7" s="63" customFormat="1" ht="12.75">
      <c r="C255" s="83"/>
      <c r="G255" s="84"/>
    </row>
    <row r="256" spans="3:7" s="63" customFormat="1" ht="12.75">
      <c r="C256" s="83"/>
      <c r="G256" s="84"/>
    </row>
    <row r="257" spans="3:7" s="63" customFormat="1" ht="12.75">
      <c r="C257" s="83"/>
      <c r="G257" s="84"/>
    </row>
    <row r="258" spans="3:7" s="63" customFormat="1" ht="12.75">
      <c r="C258" s="83"/>
      <c r="G258" s="84"/>
    </row>
    <row r="259" spans="3:7" s="63" customFormat="1" ht="12.75">
      <c r="C259" s="83"/>
      <c r="G259" s="84"/>
    </row>
    <row r="260" spans="3:7" s="63" customFormat="1" ht="12.75">
      <c r="C260" s="83"/>
      <c r="G260" s="84"/>
    </row>
    <row r="261" spans="3:7" s="63" customFormat="1" ht="12.75">
      <c r="C261" s="83"/>
      <c r="G261" s="84"/>
    </row>
    <row r="262" spans="3:7" s="63" customFormat="1" ht="12.75">
      <c r="C262" s="83"/>
      <c r="G262" s="84"/>
    </row>
    <row r="263" spans="3:7" s="63" customFormat="1" ht="12.75">
      <c r="C263" s="83"/>
      <c r="G263" s="84"/>
    </row>
    <row r="264" spans="3:7" s="63" customFormat="1" ht="12.75">
      <c r="C264" s="83"/>
      <c r="G264" s="84"/>
    </row>
    <row r="265" spans="3:7" s="63" customFormat="1" ht="12.75">
      <c r="C265" s="83"/>
      <c r="G265" s="84"/>
    </row>
    <row r="266" spans="3:7" s="63" customFormat="1" ht="12.75">
      <c r="C266" s="83"/>
      <c r="G266" s="84"/>
    </row>
    <row r="267" spans="3:7" s="63" customFormat="1" ht="12.75">
      <c r="C267" s="83"/>
      <c r="G267" s="84"/>
    </row>
    <row r="268" spans="3:7" s="63" customFormat="1" ht="12.75">
      <c r="C268" s="83"/>
      <c r="G268" s="84"/>
    </row>
    <row r="269" spans="3:7" s="63" customFormat="1" ht="12.75">
      <c r="C269" s="83"/>
      <c r="G269" s="84"/>
    </row>
    <row r="270" spans="3:7" s="63" customFormat="1" ht="12.75">
      <c r="C270" s="83"/>
      <c r="G270" s="84"/>
    </row>
    <row r="271" spans="3:7" s="63" customFormat="1" ht="12.75">
      <c r="C271" s="83"/>
      <c r="G271" s="84"/>
    </row>
    <row r="272" spans="3:7" s="63" customFormat="1" ht="12.75">
      <c r="C272" s="83"/>
      <c r="G272" s="84"/>
    </row>
    <row r="273" spans="3:7" s="63" customFormat="1" ht="12.75">
      <c r="C273" s="83"/>
      <c r="G273" s="84"/>
    </row>
    <row r="274" spans="3:7" s="63" customFormat="1" ht="12.75">
      <c r="C274" s="83"/>
      <c r="G274" s="84"/>
    </row>
    <row r="275" spans="3:7" s="63" customFormat="1" ht="12.75">
      <c r="C275" s="83"/>
      <c r="G275" s="84"/>
    </row>
    <row r="276" spans="3:7" s="63" customFormat="1" ht="12.75">
      <c r="C276" s="83"/>
      <c r="G276" s="84"/>
    </row>
    <row r="277" spans="3:7" s="63" customFormat="1" ht="12.75">
      <c r="C277" s="83"/>
      <c r="G277" s="84"/>
    </row>
    <row r="278" spans="3:7" s="63" customFormat="1" ht="12.75">
      <c r="C278" s="83"/>
      <c r="G278" s="84"/>
    </row>
    <row r="279" spans="3:7" s="63" customFormat="1" ht="12.75">
      <c r="C279" s="83"/>
      <c r="G279" s="84"/>
    </row>
    <row r="280" spans="3:7" s="63" customFormat="1" ht="12.75">
      <c r="C280" s="83"/>
      <c r="G280" s="84"/>
    </row>
    <row r="281" spans="3:7" s="63" customFormat="1" ht="12.75">
      <c r="C281" s="83"/>
      <c r="G281" s="84"/>
    </row>
    <row r="282" spans="3:7" s="63" customFormat="1" ht="12.75">
      <c r="C282" s="83"/>
      <c r="G282" s="84"/>
    </row>
    <row r="283" spans="3:7" s="63" customFormat="1" ht="12.75">
      <c r="C283" s="83"/>
      <c r="G283" s="84"/>
    </row>
    <row r="284" spans="3:7" s="63" customFormat="1" ht="12.75">
      <c r="C284" s="83"/>
      <c r="G284" s="84"/>
    </row>
    <row r="285" spans="3:7" s="63" customFormat="1" ht="12.75">
      <c r="C285" s="83"/>
      <c r="G285" s="84"/>
    </row>
    <row r="286" spans="3:7" s="63" customFormat="1" ht="12.75">
      <c r="C286" s="83"/>
      <c r="G286" s="84"/>
    </row>
    <row r="287" spans="3:7" s="63" customFormat="1" ht="12.75">
      <c r="C287" s="83"/>
      <c r="G287" s="84"/>
    </row>
    <row r="288" spans="3:7" s="63" customFormat="1" ht="12.75">
      <c r="C288" s="83"/>
      <c r="G288" s="84"/>
    </row>
    <row r="289" spans="3:7" s="63" customFormat="1" ht="12.75">
      <c r="C289" s="83"/>
      <c r="G289" s="84"/>
    </row>
    <row r="290" spans="3:7" s="63" customFormat="1" ht="12.75">
      <c r="C290" s="83"/>
      <c r="G290" s="84"/>
    </row>
    <row r="291" spans="3:7" s="63" customFormat="1" ht="12.75">
      <c r="C291" s="83"/>
      <c r="G291" s="84"/>
    </row>
    <row r="292" spans="3:7" s="63" customFormat="1" ht="12.75">
      <c r="C292" s="83"/>
      <c r="G292" s="84"/>
    </row>
    <row r="293" spans="3:7" s="63" customFormat="1" ht="12.75">
      <c r="C293" s="83"/>
      <c r="G293" s="84"/>
    </row>
    <row r="294" spans="3:7" s="63" customFormat="1" ht="12.75">
      <c r="C294" s="83"/>
      <c r="G294" s="84"/>
    </row>
    <row r="295" spans="3:7" s="63" customFormat="1" ht="12.75">
      <c r="C295" s="83"/>
      <c r="G295" s="84"/>
    </row>
    <row r="296" spans="3:7" s="63" customFormat="1" ht="12.75">
      <c r="C296" s="83"/>
      <c r="G296" s="84"/>
    </row>
    <row r="297" spans="3:7" s="63" customFormat="1" ht="12.75">
      <c r="C297" s="83"/>
      <c r="G297" s="84"/>
    </row>
    <row r="298" spans="3:7" s="63" customFormat="1" ht="12.75">
      <c r="C298" s="83"/>
      <c r="G298" s="84"/>
    </row>
    <row r="299" spans="3:7" s="63" customFormat="1" ht="12.75">
      <c r="C299" s="83"/>
      <c r="G299" s="84"/>
    </row>
    <row r="300" spans="3:7" s="63" customFormat="1" ht="12.75">
      <c r="C300" s="83"/>
      <c r="G300" s="84"/>
    </row>
    <row r="301" spans="3:7" s="63" customFormat="1" ht="12.75">
      <c r="C301" s="83"/>
      <c r="G301" s="84"/>
    </row>
    <row r="302" spans="3:7" s="63" customFormat="1" ht="12.75">
      <c r="C302" s="83"/>
      <c r="G302" s="84"/>
    </row>
    <row r="303" spans="3:7" s="63" customFormat="1" ht="12.75">
      <c r="C303" s="83"/>
      <c r="G303" s="84"/>
    </row>
    <row r="304" spans="3:7" s="63" customFormat="1" ht="12.75">
      <c r="C304" s="83"/>
      <c r="G304" s="84"/>
    </row>
    <row r="305" spans="3:7" s="63" customFormat="1" ht="12.75">
      <c r="C305" s="83"/>
      <c r="G305" s="84"/>
    </row>
    <row r="306" spans="3:7" s="63" customFormat="1" ht="12.75">
      <c r="C306" s="83"/>
      <c r="G306" s="84"/>
    </row>
    <row r="307" spans="3:7" s="63" customFormat="1" ht="12.75">
      <c r="C307" s="83"/>
      <c r="G307" s="84"/>
    </row>
    <row r="308" spans="3:7" s="63" customFormat="1" ht="12.75">
      <c r="C308" s="83"/>
      <c r="G308" s="84"/>
    </row>
    <row r="309" spans="3:7" s="63" customFormat="1" ht="12.75">
      <c r="C309" s="83"/>
      <c r="G309" s="84"/>
    </row>
    <row r="310" spans="3:7" s="63" customFormat="1" ht="12.75">
      <c r="C310" s="83"/>
      <c r="G310" s="84"/>
    </row>
    <row r="311" spans="3:7" s="63" customFormat="1" ht="12.75">
      <c r="C311" s="83"/>
      <c r="G311" s="84"/>
    </row>
    <row r="312" spans="3:7" s="63" customFormat="1" ht="12.75">
      <c r="C312" s="83"/>
      <c r="G312" s="84"/>
    </row>
    <row r="313" spans="3:7" s="63" customFormat="1" ht="12.75">
      <c r="C313" s="83"/>
      <c r="G313" s="84"/>
    </row>
    <row r="314" spans="3:7" s="63" customFormat="1" ht="12.75">
      <c r="C314" s="83"/>
      <c r="G314" s="84"/>
    </row>
    <row r="315" spans="3:7" s="63" customFormat="1" ht="12.75">
      <c r="C315" s="83"/>
      <c r="G315" s="84"/>
    </row>
    <row r="316" spans="3:7" s="63" customFormat="1" ht="12.75">
      <c r="C316" s="83"/>
      <c r="G316" s="84"/>
    </row>
    <row r="317" spans="3:7" s="63" customFormat="1" ht="12.75">
      <c r="C317" s="83"/>
      <c r="G317" s="84"/>
    </row>
    <row r="318" spans="3:7" s="63" customFormat="1" ht="12.75">
      <c r="C318" s="83"/>
      <c r="G318" s="84"/>
    </row>
    <row r="319" spans="3:7" s="63" customFormat="1" ht="12.75">
      <c r="C319" s="83"/>
      <c r="G319" s="84"/>
    </row>
    <row r="320" spans="3:7" s="63" customFormat="1" ht="12.75">
      <c r="C320" s="83"/>
      <c r="G320" s="84"/>
    </row>
    <row r="321" spans="3:7" s="63" customFormat="1" ht="12.75">
      <c r="C321" s="83"/>
      <c r="G321" s="84"/>
    </row>
    <row r="322" spans="3:7" s="63" customFormat="1" ht="12.75">
      <c r="C322" s="83"/>
      <c r="G322" s="84"/>
    </row>
    <row r="323" spans="3:7" s="63" customFormat="1" ht="12.75">
      <c r="C323" s="83"/>
      <c r="G323" s="84"/>
    </row>
    <row r="324" spans="3:7" s="63" customFormat="1" ht="12.75">
      <c r="C324" s="83"/>
      <c r="G324" s="84"/>
    </row>
    <row r="325" spans="3:7" s="63" customFormat="1" ht="12.75">
      <c r="C325" s="83"/>
      <c r="G325" s="84"/>
    </row>
  </sheetData>
  <sheetProtection sheet="1" objects="1" scenarios="1"/>
  <mergeCells count="5">
    <mergeCell ref="I6:L6"/>
    <mergeCell ref="A35:B35"/>
    <mergeCell ref="B1:H3"/>
    <mergeCell ref="A23:B23"/>
    <mergeCell ref="A4:H4"/>
  </mergeCells>
  <hyperlinks>
    <hyperlink ref="A23" location="Hulpwerkblad!A1" display="Klik hier voor hulp!"/>
    <hyperlink ref="A23:B23" location="Hulpwerkblad!A1" display="Klik hier voor hulp om excretie en mestproductie te bepalen"/>
    <hyperlink ref="A35:B35" location="'Kenmerken mestscheider'!A1" display="Klik hier om kenmerken mestscheider te bekijken of aan te passen"/>
    <hyperlink ref="I6" location="'Uitgebreide technische uitvoer'!A1" display="Klik hier voor uitgebreide technische uitvoer"/>
  </hyperlinks>
  <printOptions/>
  <pageMargins left="0.31" right="0.21" top="0.52" bottom="0.9" header="0.5" footer="0.5"/>
  <pageSetup horizontalDpi="600" verticalDpi="600" orientation="landscape" paperSize="9" scale="80"/>
  <ignoredErrors>
    <ignoredError sqref="B40:B41 B42:B44" unlockedFormula="1"/>
  </ignoredErrors>
  <drawing r:id="rId2"/>
  <legacyDrawing r:id="rId1"/>
</worksheet>
</file>

<file path=xl/worksheets/sheet2.xml><?xml version="1.0" encoding="utf-8"?>
<worksheet xmlns="http://schemas.openxmlformats.org/spreadsheetml/2006/main" xmlns:r="http://schemas.openxmlformats.org/officeDocument/2006/relationships">
  <dimension ref="A1:H22"/>
  <sheetViews>
    <sheetView zoomScalePageLayoutView="0" workbookViewId="0" topLeftCell="A1">
      <selection activeCell="D4" sqref="D4"/>
    </sheetView>
  </sheetViews>
  <sheetFormatPr defaultColWidth="9.140625" defaultRowHeight="12.75"/>
  <cols>
    <col min="1" max="1" width="18.00390625" style="63" customWidth="1"/>
    <col min="2" max="2" width="9.140625" style="63" customWidth="1"/>
    <col min="3" max="3" width="40.57421875" style="63" customWidth="1"/>
    <col min="4" max="4" width="14.7109375" style="63" customWidth="1"/>
    <col min="5" max="16384" width="9.140625" style="63" customWidth="1"/>
  </cols>
  <sheetData>
    <row r="1" spans="2:4" ht="12.75">
      <c r="B1" s="201" t="s">
        <v>181</v>
      </c>
      <c r="C1" s="202"/>
      <c r="D1" s="202"/>
    </row>
    <row r="2" spans="3:4" ht="12.75">
      <c r="C2" s="83"/>
      <c r="D2" s="83"/>
    </row>
    <row r="3" spans="1:3" ht="12.75">
      <c r="A3" s="113" t="s">
        <v>158</v>
      </c>
      <c r="C3" s="83"/>
    </row>
    <row r="4" spans="1:4" ht="12.75">
      <c r="A4" s="63" t="s">
        <v>172</v>
      </c>
      <c r="C4" s="83"/>
      <c r="D4" s="91">
        <f>Invoer!B9*'rekenblad 1'!B30+Invoer!B10*'rekenblad 1'!B27+Invoer!B11*'rekenblad 1'!B28</f>
        <v>20701.567000000003</v>
      </c>
    </row>
    <row r="5" spans="1:4" ht="12.75">
      <c r="A5" s="63" t="s">
        <v>173</v>
      </c>
      <c r="C5" s="83"/>
      <c r="D5" s="91">
        <f>Invoer!B9*'rekenblad 1'!D30+Invoer!B10*'rekenblad 1'!D27+Invoer!B11*'rekenblad 1'!D28</f>
        <v>7431.037</v>
      </c>
    </row>
    <row r="6" spans="1:4" ht="12.75">
      <c r="A6" s="63" t="s">
        <v>81</v>
      </c>
      <c r="C6" s="83"/>
      <c r="D6" s="163">
        <v>0</v>
      </c>
    </row>
    <row r="7" spans="1:4" ht="12.75">
      <c r="A7" s="63" t="s">
        <v>82</v>
      </c>
      <c r="C7" s="83"/>
      <c r="D7" s="163">
        <v>0.2</v>
      </c>
    </row>
    <row r="8" spans="1:4" ht="12.75">
      <c r="A8" s="63" t="s">
        <v>156</v>
      </c>
      <c r="C8" s="83"/>
      <c r="D8" s="91">
        <f>D4*(1-D6)</f>
        <v>20701.567000000003</v>
      </c>
    </row>
    <row r="9" spans="1:4" ht="12.75">
      <c r="A9" s="63" t="s">
        <v>157</v>
      </c>
      <c r="C9" s="83"/>
      <c r="D9" s="91">
        <f>D5*(1-D7)</f>
        <v>5944.829600000001</v>
      </c>
    </row>
    <row r="10" ht="12.75">
      <c r="C10" s="83"/>
    </row>
    <row r="11" ht="12.75">
      <c r="C11" s="83"/>
    </row>
    <row r="12" spans="1:3" ht="12.75">
      <c r="A12" s="113" t="s">
        <v>159</v>
      </c>
      <c r="C12" s="83"/>
    </row>
    <row r="13" spans="1:4" ht="12.75">
      <c r="A13" s="63" t="s">
        <v>174</v>
      </c>
      <c r="C13" s="83"/>
      <c r="D13" s="115">
        <f>Invoer!B9*'rekenblad 1'!E30+Invoer!B10*'rekenblad 1'!E27+Invoer!B11*'rekenblad 1'!E28</f>
        <v>4824.764000000001</v>
      </c>
    </row>
    <row r="14" spans="1:4" ht="12.75">
      <c r="A14" s="63" t="s">
        <v>177</v>
      </c>
      <c r="C14" s="83"/>
      <c r="D14" s="164">
        <v>180</v>
      </c>
    </row>
    <row r="15" spans="1:4" ht="12.75">
      <c r="A15" s="63" t="s">
        <v>175</v>
      </c>
      <c r="C15" s="83"/>
      <c r="D15" s="164">
        <v>10</v>
      </c>
    </row>
    <row r="16" spans="1:4" ht="12.75">
      <c r="A16" s="63" t="s">
        <v>176</v>
      </c>
      <c r="C16" s="83"/>
      <c r="D16" s="164">
        <v>200</v>
      </c>
    </row>
    <row r="17" spans="1:4" ht="12.75">
      <c r="A17" s="63" t="s">
        <v>178</v>
      </c>
      <c r="C17" s="83"/>
      <c r="D17" s="164">
        <v>24</v>
      </c>
    </row>
    <row r="18" spans="1:4" ht="12.75">
      <c r="A18" s="63" t="s">
        <v>179</v>
      </c>
      <c r="C18" s="83"/>
      <c r="D18" s="164">
        <v>120</v>
      </c>
    </row>
    <row r="19" spans="1:4" ht="12.75">
      <c r="A19" s="63" t="s">
        <v>180</v>
      </c>
      <c r="C19" s="83"/>
      <c r="D19" s="164">
        <v>24</v>
      </c>
    </row>
    <row r="20" spans="1:4" ht="12.75">
      <c r="A20" s="63" t="s">
        <v>102</v>
      </c>
      <c r="C20" s="83"/>
      <c r="D20" s="115">
        <f>((365-(D14*D15/24))*('rekenblad 1'!E30/365)*Invoer!B9)+((365-(D16*D17/24))*('rekenblad 1'!E27/365)*Invoer!B10)+((365-(D18*D19/24))*('rekenblad 1'!E28/365)*Invoer!B11)</f>
        <v>3548.9083287671233</v>
      </c>
    </row>
    <row r="21" ht="12.75">
      <c r="C21" s="83"/>
    </row>
    <row r="22" spans="3:8" ht="12.75">
      <c r="C22" s="199" t="s">
        <v>191</v>
      </c>
      <c r="D22" s="200"/>
      <c r="H22" s="114"/>
    </row>
  </sheetData>
  <sheetProtection sheet="1" objects="1" scenarios="1"/>
  <mergeCells count="2">
    <mergeCell ref="C22:D22"/>
    <mergeCell ref="B1:D1"/>
  </mergeCells>
  <hyperlinks>
    <hyperlink ref="C22" location="Invoer!A1" display="terug naar invulblad"/>
  </hyperlink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L10"/>
  <sheetViews>
    <sheetView zoomScalePageLayoutView="0" workbookViewId="0" topLeftCell="B1">
      <selection activeCell="B22" sqref="B22"/>
    </sheetView>
  </sheetViews>
  <sheetFormatPr defaultColWidth="9.140625" defaultRowHeight="12.75"/>
  <cols>
    <col min="1" max="1" width="0" style="63" hidden="1" customWidth="1"/>
    <col min="2" max="2" width="27.57421875" style="63" customWidth="1"/>
    <col min="3" max="3" width="7.57421875" style="83" customWidth="1"/>
    <col min="4" max="4" width="8.140625" style="83" customWidth="1"/>
    <col min="5" max="6" width="10.7109375" style="83" customWidth="1"/>
    <col min="7" max="8" width="9.8515625" style="83" customWidth="1"/>
    <col min="9" max="9" width="8.7109375" style="83" customWidth="1"/>
    <col min="10" max="10" width="8.00390625" style="83" customWidth="1"/>
    <col min="11" max="16384" width="9.140625" style="63" customWidth="1"/>
  </cols>
  <sheetData>
    <row r="1" ht="12.75">
      <c r="B1" s="63" t="s">
        <v>283</v>
      </c>
    </row>
    <row r="2" spans="1:10" ht="51">
      <c r="A2" s="118"/>
      <c r="B2" s="63" t="s">
        <v>97</v>
      </c>
      <c r="C2" s="132" t="s">
        <v>201</v>
      </c>
      <c r="D2" s="132" t="s">
        <v>202</v>
      </c>
      <c r="E2" s="132" t="s">
        <v>195</v>
      </c>
      <c r="F2" s="132" t="s">
        <v>196</v>
      </c>
      <c r="G2" s="132" t="s">
        <v>199</v>
      </c>
      <c r="H2" s="132" t="s">
        <v>103</v>
      </c>
      <c r="I2" s="132" t="s">
        <v>197</v>
      </c>
      <c r="J2" s="132" t="s">
        <v>198</v>
      </c>
    </row>
    <row r="3" spans="1:10" ht="12.75">
      <c r="A3" s="118">
        <v>1</v>
      </c>
      <c r="B3" s="63" t="s">
        <v>93</v>
      </c>
      <c r="C3" s="133">
        <v>150</v>
      </c>
      <c r="D3" s="133">
        <v>850</v>
      </c>
      <c r="E3" s="134">
        <v>0.15</v>
      </c>
      <c r="F3" s="134">
        <v>0.2</v>
      </c>
      <c r="G3" s="133">
        <v>25000</v>
      </c>
      <c r="H3" s="135">
        <v>0.178</v>
      </c>
      <c r="I3" s="136">
        <v>0</v>
      </c>
      <c r="J3" s="136">
        <v>0.1</v>
      </c>
    </row>
    <row r="4" spans="1:10" ht="12.75">
      <c r="A4" s="118">
        <v>2</v>
      </c>
      <c r="B4" s="63" t="s">
        <v>94</v>
      </c>
      <c r="C4" s="133">
        <v>170</v>
      </c>
      <c r="D4" s="133">
        <v>830</v>
      </c>
      <c r="E4" s="134">
        <v>0.2</v>
      </c>
      <c r="F4" s="134">
        <v>0.3</v>
      </c>
      <c r="G4" s="133">
        <v>30000</v>
      </c>
      <c r="H4" s="135">
        <v>0.178</v>
      </c>
      <c r="I4" s="136">
        <v>0</v>
      </c>
      <c r="J4" s="136">
        <v>0.2</v>
      </c>
    </row>
    <row r="5" spans="1:10" ht="12.75">
      <c r="A5" s="118">
        <v>3</v>
      </c>
      <c r="B5" s="63" t="s">
        <v>95</v>
      </c>
      <c r="C5" s="133">
        <v>170</v>
      </c>
      <c r="D5" s="133">
        <v>830</v>
      </c>
      <c r="E5" s="134">
        <v>0.25</v>
      </c>
      <c r="F5" s="134">
        <v>0.65</v>
      </c>
      <c r="G5" s="133">
        <v>70000</v>
      </c>
      <c r="H5" s="135">
        <v>0.178</v>
      </c>
      <c r="I5" s="136">
        <v>1</v>
      </c>
      <c r="J5" s="136">
        <v>0.2</v>
      </c>
    </row>
    <row r="6" spans="1:10" ht="12.75">
      <c r="A6" s="118">
        <v>4</v>
      </c>
      <c r="B6" s="63" t="s">
        <v>96</v>
      </c>
      <c r="C6" s="133">
        <v>150</v>
      </c>
      <c r="D6" s="133">
        <v>850</v>
      </c>
      <c r="E6" s="134">
        <v>0.25</v>
      </c>
      <c r="F6" s="134">
        <v>0.65</v>
      </c>
      <c r="G6" s="133">
        <v>100000</v>
      </c>
      <c r="H6" s="135">
        <v>0.178</v>
      </c>
      <c r="I6" s="136">
        <v>0</v>
      </c>
      <c r="J6" s="136">
        <v>0.8</v>
      </c>
    </row>
    <row r="7" spans="1:3" ht="12.75">
      <c r="A7" s="118"/>
      <c r="C7" s="131" t="s">
        <v>203</v>
      </c>
    </row>
    <row r="8" spans="1:2" ht="12.75" hidden="1">
      <c r="A8" s="118">
        <v>2</v>
      </c>
      <c r="B8" s="63" t="s">
        <v>135</v>
      </c>
    </row>
    <row r="10" spans="6:12" ht="12.75">
      <c r="F10" s="199" t="s">
        <v>191</v>
      </c>
      <c r="G10" s="203"/>
      <c r="H10" s="203"/>
      <c r="I10" s="203"/>
      <c r="J10" s="203"/>
      <c r="K10" s="83"/>
      <c r="L10" s="83"/>
    </row>
  </sheetData>
  <sheetProtection sheet="1" objects="1" scenarios="1"/>
  <mergeCells count="1">
    <mergeCell ref="F10:J10"/>
  </mergeCells>
  <hyperlinks>
    <hyperlink ref="F10" location="Invoer!A1" display="terug naar invulblad"/>
  </hyperlink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I106"/>
  <sheetViews>
    <sheetView zoomScalePageLayoutView="0" workbookViewId="0" topLeftCell="A1">
      <selection activeCell="E1" sqref="E1:I1"/>
    </sheetView>
  </sheetViews>
  <sheetFormatPr defaultColWidth="9.140625" defaultRowHeight="12.75"/>
  <cols>
    <col min="1" max="1" width="52.7109375" style="63" customWidth="1"/>
    <col min="2" max="3" width="9.140625" style="63" customWidth="1"/>
    <col min="4" max="4" width="10.8515625" style="63" bestFit="1" customWidth="1"/>
    <col min="5" max="5" width="9.140625" style="63" customWidth="1"/>
    <col min="6" max="6" width="36.00390625" style="63" bestFit="1" customWidth="1"/>
    <col min="7" max="16384" width="9.140625" style="63" customWidth="1"/>
  </cols>
  <sheetData>
    <row r="1" spans="1:9" ht="18">
      <c r="A1" s="138" t="s">
        <v>282</v>
      </c>
      <c r="E1" s="199" t="s">
        <v>191</v>
      </c>
      <c r="F1" s="203"/>
      <c r="G1" s="203"/>
      <c r="H1" s="203"/>
      <c r="I1" s="203"/>
    </row>
    <row r="2" ht="13.5" thickBot="1"/>
    <row r="3" spans="1:9" ht="15.75">
      <c r="A3" s="139" t="s">
        <v>207</v>
      </c>
      <c r="B3" s="119"/>
      <c r="C3" s="119"/>
      <c r="D3" s="119"/>
      <c r="E3" s="119"/>
      <c r="F3" s="119"/>
      <c r="G3" s="119"/>
      <c r="H3" s="119"/>
      <c r="I3" s="140"/>
    </row>
    <row r="4" spans="1:9" ht="12.75">
      <c r="A4" s="55" t="s">
        <v>65</v>
      </c>
      <c r="B4" s="26">
        <f>Invoer!B9</f>
        <v>141.8</v>
      </c>
      <c r="C4" s="47" t="s">
        <v>230</v>
      </c>
      <c r="D4" s="47"/>
      <c r="E4" s="47"/>
      <c r="F4" s="47"/>
      <c r="G4" s="47"/>
      <c r="H4" s="47"/>
      <c r="I4" s="123"/>
    </row>
    <row r="5" spans="1:9" ht="12.75">
      <c r="A5" s="55" t="s">
        <v>228</v>
      </c>
      <c r="B5" s="26">
        <f>Invoer!B17</f>
        <v>42.3</v>
      </c>
      <c r="C5" s="47" t="s">
        <v>231</v>
      </c>
      <c r="D5" s="47"/>
      <c r="E5" s="47"/>
      <c r="F5" s="47"/>
      <c r="G5" s="47"/>
      <c r="H5" s="47"/>
      <c r="I5" s="123"/>
    </row>
    <row r="6" spans="1:9" ht="12.75">
      <c r="A6" s="55" t="s">
        <v>209</v>
      </c>
      <c r="B6" s="141">
        <f>Invoer!B14/Invoer!B17</f>
        <v>0</v>
      </c>
      <c r="C6" s="47" t="s">
        <v>231</v>
      </c>
      <c r="D6" s="47"/>
      <c r="E6" s="47"/>
      <c r="F6" s="47"/>
      <c r="G6" s="47"/>
      <c r="H6" s="47"/>
      <c r="I6" s="123"/>
    </row>
    <row r="7" spans="1:9" ht="12.75">
      <c r="A7" s="55" t="s">
        <v>210</v>
      </c>
      <c r="B7" s="141">
        <f>Invoer!B15/Invoer!B17</f>
        <v>1</v>
      </c>
      <c r="C7" s="47"/>
      <c r="D7" s="47"/>
      <c r="E7" s="47"/>
      <c r="F7" s="47"/>
      <c r="G7" s="47"/>
      <c r="H7" s="47"/>
      <c r="I7" s="123"/>
    </row>
    <row r="8" spans="1:9" ht="12.75">
      <c r="A8" s="55" t="s">
        <v>208</v>
      </c>
      <c r="B8" s="141">
        <f>Invoer!B16/Invoer!B17</f>
        <v>0</v>
      </c>
      <c r="C8" s="47"/>
      <c r="D8" s="47"/>
      <c r="E8" s="47"/>
      <c r="F8" s="47"/>
      <c r="G8" s="47"/>
      <c r="H8" s="47"/>
      <c r="I8" s="123"/>
    </row>
    <row r="9" spans="1:9" ht="12.75">
      <c r="A9" s="55" t="s">
        <v>229</v>
      </c>
      <c r="B9" s="26">
        <f>Invoer!B21</f>
        <v>10</v>
      </c>
      <c r="C9" s="47" t="s">
        <v>231</v>
      </c>
      <c r="D9" s="47"/>
      <c r="E9" s="47"/>
      <c r="F9" s="47"/>
      <c r="G9" s="47"/>
      <c r="H9" s="47"/>
      <c r="I9" s="123"/>
    </row>
    <row r="10" spans="1:9" ht="12.75">
      <c r="A10" s="55" t="s">
        <v>209</v>
      </c>
      <c r="B10" s="141">
        <f>Invoer!B18/Invoer!B21</f>
        <v>0</v>
      </c>
      <c r="C10" s="47"/>
      <c r="D10" s="47"/>
      <c r="E10" s="47"/>
      <c r="F10" s="47"/>
      <c r="G10" s="47"/>
      <c r="H10" s="47"/>
      <c r="I10" s="123"/>
    </row>
    <row r="11" spans="1:9" ht="12.75">
      <c r="A11" s="55" t="s">
        <v>210</v>
      </c>
      <c r="B11" s="141">
        <f>Invoer!B19/Invoer!B21</f>
        <v>1</v>
      </c>
      <c r="C11" s="47"/>
      <c r="D11" s="47"/>
      <c r="E11" s="47"/>
      <c r="F11" s="47"/>
      <c r="G11" s="47"/>
      <c r="H11" s="47"/>
      <c r="I11" s="123"/>
    </row>
    <row r="12" spans="1:9" ht="12.75">
      <c r="A12" s="55" t="s">
        <v>208</v>
      </c>
      <c r="B12" s="141">
        <f>Invoer!B20/Invoer!B21</f>
        <v>0</v>
      </c>
      <c r="C12" s="47"/>
      <c r="D12" s="47"/>
      <c r="E12" s="47"/>
      <c r="F12" s="47"/>
      <c r="G12" s="47"/>
      <c r="H12" s="47"/>
      <c r="I12" s="123"/>
    </row>
    <row r="13" spans="1:9" ht="12.75">
      <c r="A13" s="55" t="s">
        <v>211</v>
      </c>
      <c r="B13" s="141">
        <f>B5/(B5+B9)</f>
        <v>0.8087954110898662</v>
      </c>
      <c r="C13" s="47"/>
      <c r="D13" s="47"/>
      <c r="E13" s="47"/>
      <c r="F13" s="47"/>
      <c r="G13" s="47"/>
      <c r="H13" s="47"/>
      <c r="I13" s="123"/>
    </row>
    <row r="14" spans="1:9" ht="12.75">
      <c r="A14" s="55" t="s">
        <v>212</v>
      </c>
      <c r="B14" s="26">
        <f>'rekenblad 1'!C63</f>
        <v>250</v>
      </c>
      <c r="C14" s="47" t="s">
        <v>232</v>
      </c>
      <c r="D14" s="47"/>
      <c r="E14" s="47"/>
      <c r="F14" s="47"/>
      <c r="G14" s="47"/>
      <c r="H14" s="47"/>
      <c r="I14" s="123"/>
    </row>
    <row r="15" spans="1:9" ht="12.75">
      <c r="A15" s="55" t="s">
        <v>213</v>
      </c>
      <c r="B15" s="142">
        <f>Invoer!F7</f>
        <v>13075</v>
      </c>
      <c r="C15" s="47" t="s">
        <v>129</v>
      </c>
      <c r="D15" s="47"/>
      <c r="E15" s="47"/>
      <c r="F15" s="47"/>
      <c r="G15" s="47"/>
      <c r="H15" s="47"/>
      <c r="I15" s="123"/>
    </row>
    <row r="16" spans="1:9" ht="12.75">
      <c r="A16" s="55" t="s">
        <v>214</v>
      </c>
      <c r="B16" s="142">
        <f>Invoer!F8/(Invoer!B17+Invoer!B21)</f>
        <v>97.131931166348</v>
      </c>
      <c r="C16" s="47" t="s">
        <v>233</v>
      </c>
      <c r="D16" s="47"/>
      <c r="E16" s="47"/>
      <c r="F16" s="47"/>
      <c r="G16" s="47"/>
      <c r="H16" s="47"/>
      <c r="I16" s="123"/>
    </row>
    <row r="17" spans="1:9" ht="12.75">
      <c r="A17" s="55" t="s">
        <v>215</v>
      </c>
      <c r="B17" s="142">
        <f>Invoer!F8</f>
        <v>5080</v>
      </c>
      <c r="C17" s="47" t="s">
        <v>130</v>
      </c>
      <c r="D17" s="47"/>
      <c r="E17" s="47"/>
      <c r="F17" s="47"/>
      <c r="G17" s="47"/>
      <c r="H17" s="47"/>
      <c r="I17" s="123"/>
    </row>
    <row r="18" spans="1:9" ht="12.75">
      <c r="A18" s="55" t="s">
        <v>205</v>
      </c>
      <c r="B18" s="142">
        <f>Invoer!B24</f>
        <v>17810</v>
      </c>
      <c r="C18" s="47" t="s">
        <v>129</v>
      </c>
      <c r="D18" s="47"/>
      <c r="E18" s="47"/>
      <c r="F18" s="47"/>
      <c r="G18" s="47"/>
      <c r="H18" s="47"/>
      <c r="I18" s="123"/>
    </row>
    <row r="19" spans="1:9" ht="12.75">
      <c r="A19" s="55" t="s">
        <v>206</v>
      </c>
      <c r="B19" s="142">
        <f>Invoer!B25</f>
        <v>7233</v>
      </c>
      <c r="C19" s="47" t="s">
        <v>130</v>
      </c>
      <c r="D19" s="47"/>
      <c r="E19" s="47"/>
      <c r="F19" s="47"/>
      <c r="G19" s="47"/>
      <c r="H19" s="47"/>
      <c r="I19" s="123"/>
    </row>
    <row r="20" spans="1:9" ht="12.75">
      <c r="A20" s="55" t="s">
        <v>234</v>
      </c>
      <c r="B20" s="142">
        <f>Invoer!B26</f>
        <v>5610</v>
      </c>
      <c r="C20" s="47" t="s">
        <v>118</v>
      </c>
      <c r="D20" s="47"/>
      <c r="E20" s="47"/>
      <c r="F20" s="47"/>
      <c r="G20" s="47"/>
      <c r="H20" s="47"/>
      <c r="I20" s="123"/>
    </row>
    <row r="21" spans="1:9" ht="12.75">
      <c r="A21" s="55" t="s">
        <v>235</v>
      </c>
      <c r="B21" s="26">
        <f>Invoer!B28</f>
        <v>3.57</v>
      </c>
      <c r="C21" s="47" t="s">
        <v>237</v>
      </c>
      <c r="D21" s="47"/>
      <c r="E21" s="47"/>
      <c r="F21" s="47"/>
      <c r="G21" s="47"/>
      <c r="H21" s="47"/>
      <c r="I21" s="123"/>
    </row>
    <row r="22" spans="1:9" ht="12.75">
      <c r="A22" s="55" t="s">
        <v>236</v>
      </c>
      <c r="B22" s="26">
        <f>Invoer!B27</f>
        <v>1.47</v>
      </c>
      <c r="C22" s="47" t="s">
        <v>238</v>
      </c>
      <c r="D22" s="47"/>
      <c r="E22" s="47"/>
      <c r="F22" s="47"/>
      <c r="G22" s="47"/>
      <c r="H22" s="47"/>
      <c r="I22" s="123"/>
    </row>
    <row r="23" spans="1:9" ht="13.5" thickBot="1">
      <c r="A23" s="58"/>
      <c r="B23" s="143"/>
      <c r="C23" s="143"/>
      <c r="D23" s="143"/>
      <c r="E23" s="143"/>
      <c r="F23" s="143"/>
      <c r="G23" s="143"/>
      <c r="H23" s="143"/>
      <c r="I23" s="144"/>
    </row>
    <row r="24" spans="1:9" ht="15.75">
      <c r="A24" s="139" t="s">
        <v>204</v>
      </c>
      <c r="B24" s="119"/>
      <c r="C24" s="119"/>
      <c r="D24" s="119"/>
      <c r="E24" s="119"/>
      <c r="F24" s="119"/>
      <c r="G24" s="119"/>
      <c r="H24" s="119"/>
      <c r="I24" s="140"/>
    </row>
    <row r="25" spans="1:9" ht="12.75">
      <c r="A25" s="145" t="s">
        <v>216</v>
      </c>
      <c r="B25" s="47"/>
      <c r="C25" s="47"/>
      <c r="D25" s="47"/>
      <c r="E25" s="47"/>
      <c r="F25" s="47"/>
      <c r="G25" s="47"/>
      <c r="H25" s="47"/>
      <c r="I25" s="123"/>
    </row>
    <row r="26" spans="1:9" ht="12.75">
      <c r="A26" s="55" t="s">
        <v>205</v>
      </c>
      <c r="B26" s="142">
        <f>B18</f>
        <v>17810</v>
      </c>
      <c r="C26" s="47" t="s">
        <v>129</v>
      </c>
      <c r="D26" s="47"/>
      <c r="E26" s="47"/>
      <c r="F26" s="47"/>
      <c r="G26" s="47"/>
      <c r="H26" s="47"/>
      <c r="I26" s="123"/>
    </row>
    <row r="27" spans="1:9" ht="12.75">
      <c r="A27" s="55" t="s">
        <v>212</v>
      </c>
      <c r="B27" s="142">
        <f>B15</f>
        <v>13075</v>
      </c>
      <c r="C27" s="47" t="s">
        <v>129</v>
      </c>
      <c r="D27" s="47"/>
      <c r="E27" s="47"/>
      <c r="F27" s="47"/>
      <c r="G27" s="47"/>
      <c r="H27" s="47"/>
      <c r="I27" s="123"/>
    </row>
    <row r="28" spans="1:9" ht="12.75">
      <c r="A28" s="55" t="s">
        <v>226</v>
      </c>
      <c r="B28" s="142">
        <f>B26-B27</f>
        <v>4735</v>
      </c>
      <c r="C28" s="47" t="s">
        <v>129</v>
      </c>
      <c r="D28" s="47"/>
      <c r="E28" s="47"/>
      <c r="F28" s="47"/>
      <c r="G28" s="47"/>
      <c r="H28" s="47"/>
      <c r="I28" s="123"/>
    </row>
    <row r="29" spans="1:9" ht="12.75">
      <c r="A29" s="55" t="s">
        <v>218</v>
      </c>
      <c r="B29" s="142">
        <f>IF(B28&gt;0,B28/B21,0)</f>
        <v>1326.3305322128851</v>
      </c>
      <c r="C29" s="47" t="s">
        <v>118</v>
      </c>
      <c r="D29" s="47"/>
      <c r="E29" s="47"/>
      <c r="F29" s="47"/>
      <c r="G29" s="47"/>
      <c r="H29" s="47"/>
      <c r="I29" s="123"/>
    </row>
    <row r="30" spans="1:9" ht="12.75">
      <c r="A30" s="55"/>
      <c r="B30" s="47"/>
      <c r="C30" s="47"/>
      <c r="D30" s="47"/>
      <c r="E30" s="47"/>
      <c r="F30" s="47"/>
      <c r="G30" s="47"/>
      <c r="H30" s="47"/>
      <c r="I30" s="123"/>
    </row>
    <row r="31" spans="1:9" ht="12.75">
      <c r="A31" s="55" t="s">
        <v>206</v>
      </c>
      <c r="B31" s="142">
        <f>B19</f>
        <v>7233</v>
      </c>
      <c r="C31" s="47" t="s">
        <v>130</v>
      </c>
      <c r="D31" s="47"/>
      <c r="E31" s="47"/>
      <c r="F31" s="47"/>
      <c r="G31" s="47"/>
      <c r="H31" s="47"/>
      <c r="I31" s="123"/>
    </row>
    <row r="32" spans="1:9" ht="12.75">
      <c r="A32" s="55" t="s">
        <v>215</v>
      </c>
      <c r="B32" s="142">
        <f>B17</f>
        <v>5080</v>
      </c>
      <c r="C32" s="47" t="s">
        <v>130</v>
      </c>
      <c r="D32" s="47"/>
      <c r="E32" s="47"/>
      <c r="F32" s="47"/>
      <c r="G32" s="47"/>
      <c r="H32" s="47"/>
      <c r="I32" s="123"/>
    </row>
    <row r="33" spans="1:9" ht="12.75">
      <c r="A33" s="55" t="s">
        <v>227</v>
      </c>
      <c r="B33" s="142">
        <f>B31-B32</f>
        <v>2153</v>
      </c>
      <c r="C33" s="47" t="s">
        <v>130</v>
      </c>
      <c r="D33" s="47"/>
      <c r="E33" s="47"/>
      <c r="F33" s="47"/>
      <c r="G33" s="47"/>
      <c r="H33" s="47"/>
      <c r="I33" s="123"/>
    </row>
    <row r="34" spans="1:9" ht="12.75">
      <c r="A34" s="55" t="s">
        <v>219</v>
      </c>
      <c r="B34" s="142">
        <f>IF(B33&gt;0,B33/B22,0)</f>
        <v>1464.6258503401361</v>
      </c>
      <c r="C34" s="47" t="s">
        <v>118</v>
      </c>
      <c r="D34" s="47"/>
      <c r="E34" s="47"/>
      <c r="F34" s="47"/>
      <c r="G34" s="47"/>
      <c r="H34" s="47"/>
      <c r="I34" s="123"/>
    </row>
    <row r="35" spans="1:9" ht="12.75">
      <c r="A35" s="55"/>
      <c r="B35" s="47"/>
      <c r="C35" s="47"/>
      <c r="D35" s="47"/>
      <c r="E35" s="47"/>
      <c r="F35" s="47"/>
      <c r="G35" s="47"/>
      <c r="H35" s="47"/>
      <c r="I35" s="123"/>
    </row>
    <row r="36" spans="1:9" s="113" customFormat="1" ht="12.75">
      <c r="A36" s="146" t="s">
        <v>217</v>
      </c>
      <c r="B36" s="147">
        <f>IF(B29&gt;B34,B29,B34)</f>
        <v>1464.6258503401361</v>
      </c>
      <c r="C36" s="148" t="s">
        <v>118</v>
      </c>
      <c r="D36" s="149"/>
      <c r="E36" s="148"/>
      <c r="F36" s="150"/>
      <c r="G36" s="148"/>
      <c r="H36" s="148"/>
      <c r="I36" s="151"/>
    </row>
    <row r="37" spans="1:9" ht="13.5" thickBot="1">
      <c r="A37" s="58"/>
      <c r="B37" s="143"/>
      <c r="C37" s="143"/>
      <c r="D37" s="143"/>
      <c r="E37" s="143"/>
      <c r="F37" s="143"/>
      <c r="G37" s="143"/>
      <c r="H37" s="143"/>
      <c r="I37" s="144"/>
    </row>
    <row r="38" spans="1:9" ht="15.75">
      <c r="A38" s="139" t="s">
        <v>139</v>
      </c>
      <c r="B38" s="119"/>
      <c r="C38" s="119"/>
      <c r="D38" s="119"/>
      <c r="E38" s="119"/>
      <c r="F38" s="119"/>
      <c r="G38" s="119"/>
      <c r="H38" s="119"/>
      <c r="I38" s="140"/>
    </row>
    <row r="39" spans="1:9" ht="12.75">
      <c r="A39" s="55" t="s">
        <v>239</v>
      </c>
      <c r="B39" s="142">
        <f>B20</f>
        <v>5610</v>
      </c>
      <c r="C39" s="47" t="s">
        <v>118</v>
      </c>
      <c r="D39" s="47"/>
      <c r="E39" s="47"/>
      <c r="F39" s="47"/>
      <c r="G39" s="47"/>
      <c r="H39" s="47"/>
      <c r="I39" s="123"/>
    </row>
    <row r="40" spans="1:9" ht="12.75">
      <c r="A40" s="55" t="s">
        <v>240</v>
      </c>
      <c r="B40" s="142">
        <f>Invoer!B42</f>
        <v>170</v>
      </c>
      <c r="C40" s="47" t="s">
        <v>248</v>
      </c>
      <c r="D40" s="47"/>
      <c r="E40" s="47"/>
      <c r="F40" s="47"/>
      <c r="G40" s="47"/>
      <c r="H40" s="47"/>
      <c r="I40" s="123"/>
    </row>
    <row r="41" spans="1:9" ht="12.75">
      <c r="A41" s="55" t="s">
        <v>241</v>
      </c>
      <c r="B41" s="142">
        <f>(B39*B40)/1000</f>
        <v>953.7</v>
      </c>
      <c r="C41" s="47" t="s">
        <v>118</v>
      </c>
      <c r="D41" s="47"/>
      <c r="E41" s="47"/>
      <c r="F41" s="47"/>
      <c r="G41" s="47"/>
      <c r="H41" s="47"/>
      <c r="I41" s="123"/>
    </row>
    <row r="42" spans="1:9" ht="12.75">
      <c r="A42" s="55" t="s">
        <v>221</v>
      </c>
      <c r="B42" s="141">
        <f>Invoer!B43</f>
        <v>0.2</v>
      </c>
      <c r="C42" s="47" t="s">
        <v>222</v>
      </c>
      <c r="D42" s="47"/>
      <c r="E42" s="47"/>
      <c r="F42" s="47"/>
      <c r="G42" s="47"/>
      <c r="H42" s="47"/>
      <c r="I42" s="123"/>
    </row>
    <row r="43" spans="1:9" ht="12.75">
      <c r="A43" s="55" t="s">
        <v>242</v>
      </c>
      <c r="B43" s="152">
        <f>'rekenblad 2'!C6</f>
        <v>4.199999999999999</v>
      </c>
      <c r="C43" s="47" t="s">
        <v>237</v>
      </c>
      <c r="D43" s="47"/>
      <c r="E43" s="47"/>
      <c r="F43" s="47"/>
      <c r="G43" s="47"/>
      <c r="H43" s="47"/>
      <c r="I43" s="123"/>
    </row>
    <row r="44" spans="1:9" ht="12.75">
      <c r="A44" s="55" t="s">
        <v>223</v>
      </c>
      <c r="B44" s="141">
        <f>Invoer!B44</f>
        <v>0.3</v>
      </c>
      <c r="C44" s="47" t="s">
        <v>224</v>
      </c>
      <c r="D44" s="47"/>
      <c r="E44" s="47"/>
      <c r="F44" s="47"/>
      <c r="G44" s="47"/>
      <c r="H44" s="47"/>
      <c r="I44" s="123"/>
    </row>
    <row r="45" spans="1:9" ht="12.75">
      <c r="A45" s="55" t="s">
        <v>243</v>
      </c>
      <c r="B45" s="152">
        <f>'rekenblad 2'!C7</f>
        <v>2.594117647058823</v>
      </c>
      <c r="C45" s="47" t="s">
        <v>238</v>
      </c>
      <c r="D45" s="47"/>
      <c r="E45" s="47"/>
      <c r="F45" s="47"/>
      <c r="G45" s="47"/>
      <c r="H45" s="47"/>
      <c r="I45" s="123"/>
    </row>
    <row r="46" spans="1:9" ht="12.75">
      <c r="A46" s="55"/>
      <c r="B46" s="47"/>
      <c r="C46" s="47"/>
      <c r="D46" s="47"/>
      <c r="E46" s="47"/>
      <c r="F46" s="47"/>
      <c r="G46" s="47"/>
      <c r="H46" s="47"/>
      <c r="I46" s="123"/>
    </row>
    <row r="47" spans="1:9" ht="12.75">
      <c r="A47" s="55" t="s">
        <v>226</v>
      </c>
      <c r="B47" s="142">
        <f>B28</f>
        <v>4735</v>
      </c>
      <c r="C47" s="47" t="s">
        <v>129</v>
      </c>
      <c r="D47" s="47"/>
      <c r="E47" s="47"/>
      <c r="F47" s="47"/>
      <c r="G47" s="47"/>
      <c r="H47" s="47"/>
      <c r="I47" s="123"/>
    </row>
    <row r="48" spans="1:9" ht="12.75">
      <c r="A48" s="55" t="s">
        <v>244</v>
      </c>
      <c r="B48" s="142">
        <f>B47/B43</f>
        <v>1127.3809523809525</v>
      </c>
      <c r="C48" s="47" t="s">
        <v>118</v>
      </c>
      <c r="D48" s="47"/>
      <c r="E48" s="47"/>
      <c r="F48" s="47"/>
      <c r="G48" s="47"/>
      <c r="H48" s="47"/>
      <c r="I48" s="123"/>
    </row>
    <row r="49" spans="1:9" ht="12.75">
      <c r="A49" s="55" t="s">
        <v>227</v>
      </c>
      <c r="B49" s="142">
        <f>B33</f>
        <v>2153</v>
      </c>
      <c r="C49" s="47" t="s">
        <v>130</v>
      </c>
      <c r="D49" s="47"/>
      <c r="E49" s="47"/>
      <c r="F49" s="47"/>
      <c r="G49" s="47"/>
      <c r="H49" s="47"/>
      <c r="I49" s="123"/>
    </row>
    <row r="50" spans="1:9" ht="12.75">
      <c r="A50" s="55" t="s">
        <v>245</v>
      </c>
      <c r="B50" s="142">
        <f>B49/B45</f>
        <v>829.9546485260772</v>
      </c>
      <c r="C50" s="47" t="s">
        <v>118</v>
      </c>
      <c r="D50" s="47"/>
      <c r="E50" s="47"/>
      <c r="F50" s="47"/>
      <c r="G50" s="47"/>
      <c r="H50" s="47"/>
      <c r="I50" s="123"/>
    </row>
    <row r="51" spans="1:9" ht="12.75">
      <c r="A51" s="55" t="s">
        <v>225</v>
      </c>
      <c r="B51" s="142">
        <f>IF(B48&gt;B50,B48,B50)</f>
        <v>1127.3809523809525</v>
      </c>
      <c r="C51" s="47" t="s">
        <v>118</v>
      </c>
      <c r="D51" s="47"/>
      <c r="E51" s="47"/>
      <c r="F51" s="47"/>
      <c r="G51" s="47"/>
      <c r="H51" s="47"/>
      <c r="I51" s="123"/>
    </row>
    <row r="52" spans="1:9" ht="12.75">
      <c r="A52" s="55" t="s">
        <v>220</v>
      </c>
      <c r="B52" s="153" t="str">
        <f>IF(B51&lt;B41,"ja","nee")</f>
        <v>nee</v>
      </c>
      <c r="C52" s="47" t="s">
        <v>284</v>
      </c>
      <c r="D52" s="47"/>
      <c r="E52" s="47"/>
      <c r="F52" s="47"/>
      <c r="G52" s="47"/>
      <c r="H52" s="47"/>
      <c r="I52" s="123"/>
    </row>
    <row r="53" spans="1:9" ht="12.75">
      <c r="A53" s="55"/>
      <c r="B53" s="47"/>
      <c r="C53" s="47"/>
      <c r="D53" s="47"/>
      <c r="E53" s="47"/>
      <c r="F53" s="47"/>
      <c r="G53" s="47"/>
      <c r="H53" s="47"/>
      <c r="I53" s="123"/>
    </row>
    <row r="54" spans="1:9" ht="12.75">
      <c r="A54" s="145" t="s">
        <v>246</v>
      </c>
      <c r="B54" s="47"/>
      <c r="C54" s="47"/>
      <c r="D54" s="47"/>
      <c r="E54" s="47"/>
      <c r="F54" s="47"/>
      <c r="G54" s="47"/>
      <c r="H54" s="47"/>
      <c r="I54" s="123"/>
    </row>
    <row r="55" spans="1:9" s="113" customFormat="1" ht="12.75">
      <c r="A55" s="146" t="s">
        <v>259</v>
      </c>
      <c r="B55" s="154">
        <f>B56/(B40/1000)</f>
        <v>5610</v>
      </c>
      <c r="C55" s="148" t="s">
        <v>118</v>
      </c>
      <c r="D55" s="148"/>
      <c r="E55" s="148"/>
      <c r="F55" s="148"/>
      <c r="G55" s="148"/>
      <c r="H55" s="148"/>
      <c r="I55" s="151"/>
    </row>
    <row r="56" spans="1:9" s="113" customFormat="1" ht="12.75">
      <c r="A56" s="146" t="s">
        <v>143</v>
      </c>
      <c r="B56" s="147">
        <f>IF(B51&lt;B41,B51,B41)</f>
        <v>953.7</v>
      </c>
      <c r="C56" s="148" t="s">
        <v>118</v>
      </c>
      <c r="D56" s="149"/>
      <c r="E56" s="148"/>
      <c r="F56" s="155"/>
      <c r="G56" s="148"/>
      <c r="H56" s="148"/>
      <c r="I56" s="151"/>
    </row>
    <row r="57" spans="1:9" ht="12.75">
      <c r="A57" s="55"/>
      <c r="B57" s="156"/>
      <c r="C57" s="47"/>
      <c r="D57" s="47"/>
      <c r="E57" s="47"/>
      <c r="F57" s="47"/>
      <c r="G57" s="47"/>
      <c r="H57" s="47"/>
      <c r="I57" s="123"/>
    </row>
    <row r="58" spans="1:9" ht="12.75">
      <c r="A58" s="55" t="s">
        <v>247</v>
      </c>
      <c r="B58" s="142">
        <f>B56*B43</f>
        <v>4005.5399999999995</v>
      </c>
      <c r="C58" s="47" t="s">
        <v>129</v>
      </c>
      <c r="D58" s="47"/>
      <c r="E58" s="47"/>
      <c r="F58" s="47"/>
      <c r="G58" s="47"/>
      <c r="H58" s="47"/>
      <c r="I58" s="123"/>
    </row>
    <row r="59" spans="1:9" ht="12.75">
      <c r="A59" s="55" t="s">
        <v>249</v>
      </c>
      <c r="B59" s="142">
        <f>B28</f>
        <v>4735</v>
      </c>
      <c r="C59" s="47" t="s">
        <v>129</v>
      </c>
      <c r="D59" s="47"/>
      <c r="E59" s="47"/>
      <c r="F59" s="47"/>
      <c r="G59" s="47"/>
      <c r="H59" s="47"/>
      <c r="I59" s="123"/>
    </row>
    <row r="60" spans="1:9" ht="12.75">
      <c r="A60" s="55" t="s">
        <v>255</v>
      </c>
      <c r="B60" s="142">
        <f>IF(B59&gt;B58,B59-B58,0)</f>
        <v>729.4600000000005</v>
      </c>
      <c r="C60" s="47" t="s">
        <v>129</v>
      </c>
      <c r="D60" s="47"/>
      <c r="E60" s="47"/>
      <c r="F60" s="47"/>
      <c r="G60" s="47"/>
      <c r="H60" s="47"/>
      <c r="I60" s="123"/>
    </row>
    <row r="61" spans="1:9" ht="12.75">
      <c r="A61" s="55" t="s">
        <v>250</v>
      </c>
      <c r="B61" s="152">
        <f>'rekenblad 2'!C13</f>
        <v>3.440963855421687</v>
      </c>
      <c r="C61" s="47" t="s">
        <v>237</v>
      </c>
      <c r="D61" s="47"/>
      <c r="E61" s="47"/>
      <c r="F61" s="47"/>
      <c r="G61" s="47"/>
      <c r="H61" s="47"/>
      <c r="I61" s="123"/>
    </row>
    <row r="62" spans="1:9" ht="12.75">
      <c r="A62" s="55" t="s">
        <v>256</v>
      </c>
      <c r="B62" s="142">
        <f>B60/B61</f>
        <v>211.99292717086848</v>
      </c>
      <c r="C62" s="47" t="s">
        <v>118</v>
      </c>
      <c r="D62" s="47"/>
      <c r="E62" s="47"/>
      <c r="F62" s="47"/>
      <c r="G62" s="47"/>
      <c r="H62" s="47"/>
      <c r="I62" s="123"/>
    </row>
    <row r="63" spans="1:9" ht="12.75">
      <c r="A63" s="55"/>
      <c r="B63" s="47"/>
      <c r="C63" s="47"/>
      <c r="D63" s="47"/>
      <c r="E63" s="47"/>
      <c r="F63" s="47"/>
      <c r="G63" s="47"/>
      <c r="H63" s="47"/>
      <c r="I63" s="123"/>
    </row>
    <row r="64" spans="1:9" ht="12.75">
      <c r="A64" s="55" t="s">
        <v>252</v>
      </c>
      <c r="B64" s="142">
        <f>B56*B45</f>
        <v>2474.0099999999998</v>
      </c>
      <c r="C64" s="47" t="s">
        <v>130</v>
      </c>
      <c r="D64" s="47"/>
      <c r="E64" s="47"/>
      <c r="F64" s="47"/>
      <c r="G64" s="47"/>
      <c r="H64" s="47"/>
      <c r="I64" s="123"/>
    </row>
    <row r="65" spans="1:9" ht="12.75">
      <c r="A65" s="55" t="s">
        <v>253</v>
      </c>
      <c r="B65" s="142">
        <f>B33</f>
        <v>2153</v>
      </c>
      <c r="C65" s="47" t="s">
        <v>130</v>
      </c>
      <c r="D65" s="47"/>
      <c r="E65" s="47"/>
      <c r="F65" s="47"/>
      <c r="G65" s="47"/>
      <c r="H65" s="47"/>
      <c r="I65" s="123"/>
    </row>
    <row r="66" spans="1:9" ht="12.75">
      <c r="A66" s="55" t="s">
        <v>254</v>
      </c>
      <c r="B66" s="142">
        <f>IF(B65&gt;B64,B65-B64,0)</f>
        <v>0</v>
      </c>
      <c r="C66" s="47" t="s">
        <v>130</v>
      </c>
      <c r="D66" s="47"/>
      <c r="E66" s="47"/>
      <c r="F66" s="47"/>
      <c r="G66" s="47"/>
      <c r="H66" s="47"/>
      <c r="I66" s="123"/>
    </row>
    <row r="67" spans="1:9" ht="12.75">
      <c r="A67" s="55" t="s">
        <v>251</v>
      </c>
      <c r="B67" s="152">
        <f>'rekenblad 2'!C14</f>
        <v>1.2397590361445783</v>
      </c>
      <c r="C67" s="47" t="s">
        <v>238</v>
      </c>
      <c r="D67" s="47"/>
      <c r="E67" s="47"/>
      <c r="F67" s="47"/>
      <c r="G67" s="47"/>
      <c r="H67" s="47"/>
      <c r="I67" s="123"/>
    </row>
    <row r="68" spans="1:9" ht="12.75">
      <c r="A68" s="55" t="s">
        <v>257</v>
      </c>
      <c r="B68" s="142">
        <f>B66/B67</f>
        <v>0</v>
      </c>
      <c r="C68" s="47" t="s">
        <v>118</v>
      </c>
      <c r="D68" s="47"/>
      <c r="E68" s="47"/>
      <c r="F68" s="47"/>
      <c r="G68" s="47"/>
      <c r="H68" s="47"/>
      <c r="I68" s="123"/>
    </row>
    <row r="69" spans="1:9" ht="12.75">
      <c r="A69" s="55"/>
      <c r="B69" s="47"/>
      <c r="C69" s="47"/>
      <c r="D69" s="47"/>
      <c r="E69" s="47"/>
      <c r="F69" s="47"/>
      <c r="G69" s="47"/>
      <c r="H69" s="47"/>
      <c r="I69" s="123"/>
    </row>
    <row r="70" spans="1:9" s="113" customFormat="1" ht="12.75">
      <c r="A70" s="146" t="s">
        <v>258</v>
      </c>
      <c r="B70" s="147">
        <f>IF(B62&gt;B68,B62,B68)</f>
        <v>211.99292717086848</v>
      </c>
      <c r="C70" s="148" t="s">
        <v>118</v>
      </c>
      <c r="D70" s="149"/>
      <c r="E70" s="148"/>
      <c r="F70" s="157"/>
      <c r="G70" s="148"/>
      <c r="H70" s="148"/>
      <c r="I70" s="151"/>
    </row>
    <row r="71" spans="1:9" ht="13.5" thickBot="1">
      <c r="A71" s="58"/>
      <c r="B71" s="143"/>
      <c r="C71" s="143"/>
      <c r="D71" s="143"/>
      <c r="E71" s="143"/>
      <c r="F71" s="143"/>
      <c r="G71" s="143"/>
      <c r="H71" s="143"/>
      <c r="I71" s="144"/>
    </row>
    <row r="72" spans="1:9" ht="15.75">
      <c r="A72" s="139" t="s">
        <v>260</v>
      </c>
      <c r="B72" s="119"/>
      <c r="C72" s="119"/>
      <c r="D72" s="119"/>
      <c r="E72" s="119"/>
      <c r="F72" s="119"/>
      <c r="G72" s="119"/>
      <c r="H72" s="119"/>
      <c r="I72" s="140"/>
    </row>
    <row r="73" spans="1:9" ht="12.75">
      <c r="A73" s="145" t="s">
        <v>204</v>
      </c>
      <c r="B73" s="47"/>
      <c r="C73" s="47"/>
      <c r="D73" s="47"/>
      <c r="E73" s="47"/>
      <c r="F73" s="47"/>
      <c r="G73" s="47"/>
      <c r="H73" s="47"/>
      <c r="I73" s="123"/>
    </row>
    <row r="74" spans="1:9" ht="12.75">
      <c r="A74" s="55" t="s">
        <v>263</v>
      </c>
      <c r="B74" s="142">
        <f>B20-B36</f>
        <v>4145.374149659864</v>
      </c>
      <c r="C74" s="47" t="s">
        <v>118</v>
      </c>
      <c r="D74" s="47"/>
      <c r="E74" s="47"/>
      <c r="F74" s="47"/>
      <c r="G74" s="47"/>
      <c r="H74" s="47"/>
      <c r="I74" s="123"/>
    </row>
    <row r="75" spans="1:9" ht="12.75">
      <c r="A75" s="55" t="s">
        <v>261</v>
      </c>
      <c r="B75" s="26">
        <f>B21</f>
        <v>3.57</v>
      </c>
      <c r="C75" s="47" t="s">
        <v>237</v>
      </c>
      <c r="D75" s="47"/>
      <c r="E75" s="47"/>
      <c r="F75" s="47"/>
      <c r="G75" s="47"/>
      <c r="H75" s="47"/>
      <c r="I75" s="123"/>
    </row>
    <row r="76" spans="1:9" ht="12.75">
      <c r="A76" s="55" t="s">
        <v>262</v>
      </c>
      <c r="B76" s="158">
        <f>Invoer!B29</f>
        <v>0.46</v>
      </c>
      <c r="C76" s="47"/>
      <c r="D76" s="47"/>
      <c r="E76" s="47"/>
      <c r="F76" s="47"/>
      <c r="G76" s="47"/>
      <c r="H76" s="47"/>
      <c r="I76" s="123"/>
    </row>
    <row r="77" spans="1:9" ht="12.75">
      <c r="A77" s="55" t="s">
        <v>278</v>
      </c>
      <c r="B77" s="142">
        <f>B74*B75*B76</f>
        <v>6807.533428571429</v>
      </c>
      <c r="C77" s="47" t="s">
        <v>129</v>
      </c>
      <c r="D77" s="47"/>
      <c r="E77" s="47"/>
      <c r="F77" s="47"/>
      <c r="G77" s="47"/>
      <c r="H77" s="47"/>
      <c r="I77" s="123"/>
    </row>
    <row r="78" spans="1:9" ht="12.75">
      <c r="A78" s="55"/>
      <c r="B78" s="47"/>
      <c r="C78" s="47"/>
      <c r="D78" s="47"/>
      <c r="E78" s="47"/>
      <c r="F78" s="47"/>
      <c r="G78" s="47"/>
      <c r="H78" s="47"/>
      <c r="I78" s="123"/>
    </row>
    <row r="79" spans="1:9" ht="12.75">
      <c r="A79" s="145" t="s">
        <v>139</v>
      </c>
      <c r="B79" s="47"/>
      <c r="C79" s="47"/>
      <c r="D79" s="47"/>
      <c r="E79" s="47"/>
      <c r="F79" s="47"/>
      <c r="G79" s="47"/>
      <c r="H79" s="47"/>
      <c r="I79" s="123"/>
    </row>
    <row r="80" spans="1:9" ht="12.75">
      <c r="A80" s="55" t="s">
        <v>263</v>
      </c>
      <c r="B80" s="142">
        <f>B20-B55</f>
        <v>0</v>
      </c>
      <c r="C80" s="47"/>
      <c r="D80" s="47"/>
      <c r="E80" s="47"/>
      <c r="F80" s="47"/>
      <c r="G80" s="47"/>
      <c r="H80" s="47"/>
      <c r="I80" s="123"/>
    </row>
    <row r="81" spans="1:9" ht="12.75">
      <c r="A81" s="55" t="s">
        <v>261</v>
      </c>
      <c r="B81" s="26">
        <f>B21</f>
        <v>3.57</v>
      </c>
      <c r="C81" s="47" t="s">
        <v>237</v>
      </c>
      <c r="D81" s="47"/>
      <c r="E81" s="47"/>
      <c r="F81" s="47"/>
      <c r="G81" s="47"/>
      <c r="H81" s="47"/>
      <c r="I81" s="123"/>
    </row>
    <row r="82" spans="1:9" ht="12.75">
      <c r="A82" s="55" t="s">
        <v>262</v>
      </c>
      <c r="B82" s="158">
        <f>Invoer!B29</f>
        <v>0.46</v>
      </c>
      <c r="C82" s="47"/>
      <c r="D82" s="47"/>
      <c r="E82" s="47"/>
      <c r="F82" s="47"/>
      <c r="G82" s="47"/>
      <c r="H82" s="47"/>
      <c r="I82" s="123"/>
    </row>
    <row r="83" spans="1:9" ht="12.75">
      <c r="A83" s="55" t="s">
        <v>264</v>
      </c>
      <c r="B83" s="142">
        <f>B20-B56-B70-B80</f>
        <v>4444.307072829131</v>
      </c>
      <c r="C83" s="47" t="s">
        <v>118</v>
      </c>
      <c r="D83" s="47"/>
      <c r="E83" s="47"/>
      <c r="F83" s="47"/>
      <c r="G83" s="47"/>
      <c r="H83" s="47"/>
      <c r="I83" s="123"/>
    </row>
    <row r="84" spans="1:9" ht="12.75">
      <c r="A84" s="55" t="s">
        <v>265</v>
      </c>
      <c r="B84" s="152">
        <f>'rekenblad 2'!C13</f>
        <v>3.440963855421687</v>
      </c>
      <c r="C84" s="47" t="s">
        <v>237</v>
      </c>
      <c r="D84" s="47"/>
      <c r="E84" s="47"/>
      <c r="F84" s="47"/>
      <c r="G84" s="47"/>
      <c r="H84" s="47"/>
      <c r="I84" s="123"/>
    </row>
    <row r="85" spans="1:9" ht="12.75">
      <c r="A85" s="55" t="s">
        <v>266</v>
      </c>
      <c r="B85" s="158">
        <f>Invoer!B45</f>
        <v>0.8</v>
      </c>
      <c r="C85" s="47"/>
      <c r="D85" s="47"/>
      <c r="E85" s="47"/>
      <c r="F85" s="47"/>
      <c r="G85" s="47"/>
      <c r="H85" s="47"/>
      <c r="I85" s="123"/>
    </row>
    <row r="86" spans="1:9" ht="12.75">
      <c r="A86" s="55" t="s">
        <v>279</v>
      </c>
      <c r="B86" s="142">
        <f>B80*B81*B82+B83*B84*B85</f>
        <v>12234.16</v>
      </c>
      <c r="C86" s="47" t="s">
        <v>129</v>
      </c>
      <c r="D86" s="47"/>
      <c r="E86" s="47"/>
      <c r="F86" s="47"/>
      <c r="G86" s="47"/>
      <c r="H86" s="47"/>
      <c r="I86" s="123"/>
    </row>
    <row r="87" spans="1:9" ht="12.75">
      <c r="A87" s="55"/>
      <c r="B87" s="47"/>
      <c r="C87" s="47"/>
      <c r="D87" s="47"/>
      <c r="E87" s="47"/>
      <c r="F87" s="47"/>
      <c r="G87" s="47"/>
      <c r="H87" s="47"/>
      <c r="I87" s="123"/>
    </row>
    <row r="88" spans="1:9" ht="12.75">
      <c r="A88" s="55" t="s">
        <v>280</v>
      </c>
      <c r="B88" s="142">
        <f>B86-B77</f>
        <v>5426.626571428571</v>
      </c>
      <c r="C88" s="47" t="s">
        <v>267</v>
      </c>
      <c r="D88" s="47"/>
      <c r="E88" s="47"/>
      <c r="F88" s="47"/>
      <c r="G88" s="47"/>
      <c r="H88" s="47"/>
      <c r="I88" s="123"/>
    </row>
    <row r="89" spans="1:9" ht="12.75">
      <c r="A89" s="55" t="s">
        <v>268</v>
      </c>
      <c r="B89" s="26">
        <f>Invoer!B31</f>
        <v>1.04</v>
      </c>
      <c r="C89" s="47" t="s">
        <v>269</v>
      </c>
      <c r="D89" s="47"/>
      <c r="E89" s="47"/>
      <c r="F89" s="47"/>
      <c r="G89" s="47"/>
      <c r="H89" s="47"/>
      <c r="I89" s="123"/>
    </row>
    <row r="90" spans="1:9" s="113" customFormat="1" ht="12.75">
      <c r="A90" s="146" t="s">
        <v>270</v>
      </c>
      <c r="B90" s="147">
        <f>B88*B89</f>
        <v>5643.691634285714</v>
      </c>
      <c r="C90" s="148" t="s">
        <v>155</v>
      </c>
      <c r="D90" s="148"/>
      <c r="E90" s="148"/>
      <c r="F90" s="148"/>
      <c r="G90" s="148"/>
      <c r="H90" s="148"/>
      <c r="I90" s="151"/>
    </row>
    <row r="91" spans="1:9" ht="13.5" thickBot="1">
      <c r="A91" s="58"/>
      <c r="B91" s="143"/>
      <c r="C91" s="143"/>
      <c r="D91" s="143"/>
      <c r="E91" s="143"/>
      <c r="F91" s="143"/>
      <c r="G91" s="143"/>
      <c r="H91" s="143"/>
      <c r="I91" s="144"/>
    </row>
    <row r="92" spans="1:9" ht="15.75">
      <c r="A92" s="139" t="s">
        <v>271</v>
      </c>
      <c r="B92" s="119"/>
      <c r="C92" s="119"/>
      <c r="D92" s="119"/>
      <c r="E92" s="119"/>
      <c r="F92" s="119"/>
      <c r="G92" s="119"/>
      <c r="H92" s="119"/>
      <c r="I92" s="140"/>
    </row>
    <row r="93" spans="1:9" ht="12.75">
      <c r="A93" s="145" t="s">
        <v>204</v>
      </c>
      <c r="B93" s="47"/>
      <c r="C93" s="47"/>
      <c r="D93" s="47"/>
      <c r="E93" s="47"/>
      <c r="F93" s="47"/>
      <c r="G93" s="47"/>
      <c r="H93" s="47"/>
      <c r="I93" s="123"/>
    </row>
    <row r="94" spans="1:9" ht="12.75">
      <c r="A94" s="55" t="s">
        <v>272</v>
      </c>
      <c r="B94" s="142">
        <f>B36</f>
        <v>1464.6258503401361</v>
      </c>
      <c r="C94" s="47" t="s">
        <v>118</v>
      </c>
      <c r="D94" s="47"/>
      <c r="E94" s="47"/>
      <c r="F94" s="47"/>
      <c r="G94" s="47"/>
      <c r="H94" s="47"/>
      <c r="I94" s="123"/>
    </row>
    <row r="95" spans="1:9" ht="12.75">
      <c r="A95" s="55" t="s">
        <v>273</v>
      </c>
      <c r="B95" s="26">
        <f>Invoer!B30</f>
        <v>12</v>
      </c>
      <c r="C95" s="47" t="s">
        <v>281</v>
      </c>
      <c r="D95" s="47"/>
      <c r="E95" s="47"/>
      <c r="F95" s="47"/>
      <c r="G95" s="47"/>
      <c r="H95" s="47"/>
      <c r="I95" s="123"/>
    </row>
    <row r="96" spans="1:9" ht="12.75">
      <c r="A96" s="55" t="s">
        <v>276</v>
      </c>
      <c r="B96" s="142">
        <f>B94*B95</f>
        <v>17575.510204081635</v>
      </c>
      <c r="C96" s="47" t="s">
        <v>155</v>
      </c>
      <c r="D96" s="47"/>
      <c r="E96" s="47"/>
      <c r="F96" s="47"/>
      <c r="G96" s="47"/>
      <c r="H96" s="47"/>
      <c r="I96" s="123"/>
    </row>
    <row r="97" spans="1:9" ht="12.75">
      <c r="A97" s="55"/>
      <c r="B97" s="47"/>
      <c r="C97" s="47"/>
      <c r="D97" s="47"/>
      <c r="E97" s="47"/>
      <c r="F97" s="47"/>
      <c r="G97" s="47"/>
      <c r="H97" s="47"/>
      <c r="I97" s="123"/>
    </row>
    <row r="98" spans="1:9" ht="12.75">
      <c r="A98" s="145" t="s">
        <v>139</v>
      </c>
      <c r="B98" s="47"/>
      <c r="C98" s="47"/>
      <c r="D98" s="47"/>
      <c r="E98" s="47"/>
      <c r="F98" s="47"/>
      <c r="G98" s="47"/>
      <c r="H98" s="47"/>
      <c r="I98" s="123"/>
    </row>
    <row r="99" spans="1:9" ht="12.75">
      <c r="A99" s="55" t="s">
        <v>143</v>
      </c>
      <c r="B99" s="142">
        <f>B56</f>
        <v>953.7</v>
      </c>
      <c r="C99" s="47" t="s">
        <v>118</v>
      </c>
      <c r="D99" s="47"/>
      <c r="E99" s="47"/>
      <c r="F99" s="47"/>
      <c r="G99" s="47"/>
      <c r="H99" s="47"/>
      <c r="I99" s="123"/>
    </row>
    <row r="100" spans="1:9" ht="12.75">
      <c r="A100" s="55" t="s">
        <v>274</v>
      </c>
      <c r="B100" s="26">
        <f>Invoer!B46</f>
        <v>12</v>
      </c>
      <c r="C100" s="47" t="s">
        <v>281</v>
      </c>
      <c r="D100" s="47"/>
      <c r="E100" s="47"/>
      <c r="F100" s="47"/>
      <c r="G100" s="47"/>
      <c r="H100" s="47"/>
      <c r="I100" s="123"/>
    </row>
    <row r="101" spans="1:9" ht="12.75">
      <c r="A101" s="55" t="s">
        <v>144</v>
      </c>
      <c r="B101" s="142">
        <f>B70</f>
        <v>211.99292717086848</v>
      </c>
      <c r="C101" s="47" t="s">
        <v>118</v>
      </c>
      <c r="D101" s="47"/>
      <c r="E101" s="47"/>
      <c r="F101" s="47"/>
      <c r="G101" s="47"/>
      <c r="H101" s="47"/>
      <c r="I101" s="123"/>
    </row>
    <row r="102" spans="1:9" ht="12.75">
      <c r="A102" s="55" t="s">
        <v>275</v>
      </c>
      <c r="B102" s="26">
        <f>Invoer!B47</f>
        <v>12</v>
      </c>
      <c r="C102" s="47" t="s">
        <v>281</v>
      </c>
      <c r="D102" s="47"/>
      <c r="E102" s="47"/>
      <c r="F102" s="47"/>
      <c r="G102" s="47"/>
      <c r="H102" s="47"/>
      <c r="I102" s="123"/>
    </row>
    <row r="103" spans="1:9" ht="12.75">
      <c r="A103" s="55" t="s">
        <v>277</v>
      </c>
      <c r="B103" s="142">
        <f>B99*B100+B101*B102</f>
        <v>13988.315126050424</v>
      </c>
      <c r="C103" s="47" t="s">
        <v>155</v>
      </c>
      <c r="D103" s="47"/>
      <c r="E103" s="47"/>
      <c r="F103" s="47"/>
      <c r="G103" s="47"/>
      <c r="H103" s="47"/>
      <c r="I103" s="123"/>
    </row>
    <row r="104" spans="1:9" ht="12.75">
      <c r="A104" s="55"/>
      <c r="B104" s="47"/>
      <c r="C104" s="47"/>
      <c r="D104" s="47"/>
      <c r="E104" s="47"/>
      <c r="F104" s="47"/>
      <c r="G104" s="47"/>
      <c r="H104" s="47"/>
      <c r="I104" s="123"/>
    </row>
    <row r="105" spans="1:9" s="113" customFormat="1" ht="13.5" thickBot="1">
      <c r="A105" s="159" t="s">
        <v>271</v>
      </c>
      <c r="B105" s="160">
        <f>B96-B103</f>
        <v>3587.195078031211</v>
      </c>
      <c r="C105" s="161" t="s">
        <v>155</v>
      </c>
      <c r="D105" s="161"/>
      <c r="E105" s="161"/>
      <c r="F105" s="161"/>
      <c r="G105" s="161"/>
      <c r="H105" s="161"/>
      <c r="I105" s="162"/>
    </row>
    <row r="106" spans="5:9" ht="12.75">
      <c r="E106" s="199" t="s">
        <v>191</v>
      </c>
      <c r="F106" s="203"/>
      <c r="G106" s="203"/>
      <c r="H106" s="203"/>
      <c r="I106" s="203"/>
    </row>
  </sheetData>
  <sheetProtection sheet="1" objects="1" scenarios="1"/>
  <mergeCells count="2">
    <mergeCell ref="E1:I1"/>
    <mergeCell ref="E106:I106"/>
  </mergeCells>
  <hyperlinks>
    <hyperlink ref="E1" location="Invoer!A1" display="terug naar invulblad"/>
    <hyperlink ref="E106" location="Invoer!A1" display="terug naar invulblad"/>
  </hyperlinks>
  <printOptions/>
  <pageMargins left="0.75" right="0.5" top="0.38" bottom="0.33" header="0.5" footer="0.82"/>
  <pageSetup horizontalDpi="600" verticalDpi="600" orientation="landscape" paperSize="9" scale="80"/>
  <ignoredErrors>
    <ignoredError sqref="B49" formula="1"/>
  </ignoredErrors>
</worksheet>
</file>

<file path=xl/worksheets/sheet5.xml><?xml version="1.0" encoding="utf-8"?>
<worksheet xmlns="http://schemas.openxmlformats.org/spreadsheetml/2006/main" xmlns:r="http://schemas.openxmlformats.org/officeDocument/2006/relationships">
  <dimension ref="A1:AJ75"/>
  <sheetViews>
    <sheetView zoomScalePageLayoutView="0" workbookViewId="0" topLeftCell="A1">
      <selection activeCell="AL30" sqref="AL30"/>
    </sheetView>
  </sheetViews>
  <sheetFormatPr defaultColWidth="9.140625" defaultRowHeight="12.75"/>
  <cols>
    <col min="1" max="1" width="19.28125" style="0" customWidth="1"/>
    <col min="2" max="2" width="12.140625" style="0" customWidth="1"/>
    <col min="3" max="3" width="9.421875" style="0" customWidth="1"/>
    <col min="5" max="5" width="14.28125" style="0" customWidth="1"/>
    <col min="36" max="36" width="10.7109375" style="0" bestFit="1" customWidth="1"/>
  </cols>
  <sheetData>
    <row r="1" spans="1:34" ht="13.5" thickBot="1">
      <c r="A1" s="19" t="s">
        <v>0</v>
      </c>
      <c r="B1" s="204"/>
      <c r="C1" s="204"/>
      <c r="D1" s="204" t="s">
        <v>2</v>
      </c>
      <c r="E1" s="204"/>
      <c r="F1" s="204"/>
      <c r="G1" s="204"/>
      <c r="H1" s="204"/>
      <c r="I1" s="204"/>
      <c r="J1" s="204"/>
      <c r="K1" s="204"/>
      <c r="L1" s="204"/>
      <c r="M1" s="204" t="s">
        <v>2</v>
      </c>
      <c r="N1" s="204"/>
      <c r="O1" s="204"/>
      <c r="P1" s="204"/>
      <c r="Q1" s="204"/>
      <c r="R1" s="204"/>
      <c r="S1" s="204"/>
      <c r="T1" s="204"/>
      <c r="U1" s="165"/>
      <c r="V1" s="165"/>
      <c r="W1" s="165"/>
      <c r="X1" s="165"/>
      <c r="Y1" s="165"/>
      <c r="Z1" s="165"/>
      <c r="AA1" s="165"/>
      <c r="AB1" s="165"/>
      <c r="AC1" s="165"/>
      <c r="AD1" s="165"/>
      <c r="AE1" s="165"/>
      <c r="AF1" s="165"/>
      <c r="AG1" s="20" t="s">
        <v>25</v>
      </c>
      <c r="AH1" t="s">
        <v>98</v>
      </c>
    </row>
    <row r="2" spans="1:36" ht="13.5" thickBot="1">
      <c r="A2" s="21" t="s">
        <v>1</v>
      </c>
      <c r="B2" s="1" t="s">
        <v>27</v>
      </c>
      <c r="C2" s="1" t="s">
        <v>33</v>
      </c>
      <c r="D2" s="49">
        <v>13</v>
      </c>
      <c r="E2" s="49">
        <v>14</v>
      </c>
      <c r="F2" s="49">
        <v>15</v>
      </c>
      <c r="G2" s="49">
        <v>16</v>
      </c>
      <c r="H2" s="1">
        <v>17</v>
      </c>
      <c r="I2" s="1">
        <v>18</v>
      </c>
      <c r="J2" s="1">
        <v>19</v>
      </c>
      <c r="K2" s="1">
        <v>20</v>
      </c>
      <c r="L2" s="1">
        <v>21</v>
      </c>
      <c r="M2" s="1">
        <v>22</v>
      </c>
      <c r="N2" s="1">
        <v>23</v>
      </c>
      <c r="O2" s="1">
        <v>24</v>
      </c>
      <c r="P2" s="1">
        <v>25</v>
      </c>
      <c r="Q2" s="1">
        <v>26</v>
      </c>
      <c r="R2" s="1">
        <v>27</v>
      </c>
      <c r="S2" s="1">
        <v>28</v>
      </c>
      <c r="T2" s="1">
        <v>29</v>
      </c>
      <c r="U2" s="1">
        <v>30</v>
      </c>
      <c r="V2" s="1">
        <v>31</v>
      </c>
      <c r="W2" s="1">
        <v>32</v>
      </c>
      <c r="X2" s="1">
        <v>33</v>
      </c>
      <c r="Y2" s="49">
        <v>34</v>
      </c>
      <c r="Z2" s="49">
        <v>35</v>
      </c>
      <c r="AA2" s="49">
        <v>36</v>
      </c>
      <c r="AB2" s="49">
        <v>37</v>
      </c>
      <c r="AC2" s="49">
        <v>38</v>
      </c>
      <c r="AD2" s="49">
        <v>39</v>
      </c>
      <c r="AE2" s="49">
        <v>40</v>
      </c>
      <c r="AF2" s="49">
        <v>41</v>
      </c>
      <c r="AG2" s="1" t="s">
        <v>26</v>
      </c>
      <c r="AH2" t="s">
        <v>99</v>
      </c>
      <c r="AJ2" t="s">
        <v>100</v>
      </c>
    </row>
    <row r="3" spans="1:36" ht="12.75">
      <c r="A3" s="22" t="s">
        <v>3</v>
      </c>
      <c r="B3" s="23">
        <v>5625</v>
      </c>
      <c r="C3" s="23">
        <f>IF($B$32&gt;0,+IF($B$32&lt;'rekenblad 1'!B3,1,0))</f>
        <v>0</v>
      </c>
      <c r="D3" s="166">
        <v>75</v>
      </c>
      <c r="E3" s="166">
        <v>76.5</v>
      </c>
      <c r="F3" s="166">
        <v>78</v>
      </c>
      <c r="G3" s="166">
        <v>79.5</v>
      </c>
      <c r="H3" s="24">
        <v>81</v>
      </c>
      <c r="I3" s="24">
        <v>82.5</v>
      </c>
      <c r="J3" s="24">
        <v>84</v>
      </c>
      <c r="K3" s="24">
        <v>85.5</v>
      </c>
      <c r="L3" s="24">
        <v>87</v>
      </c>
      <c r="M3" s="24">
        <v>88.5</v>
      </c>
      <c r="N3" s="24">
        <v>90</v>
      </c>
      <c r="O3" s="24">
        <v>91.5</v>
      </c>
      <c r="P3" s="24">
        <v>93</v>
      </c>
      <c r="Q3" s="24">
        <v>94.5</v>
      </c>
      <c r="R3" s="24">
        <v>96</v>
      </c>
      <c r="S3" s="24">
        <v>97.5</v>
      </c>
      <c r="T3" s="24">
        <v>99</v>
      </c>
      <c r="U3" s="24">
        <v>100.5</v>
      </c>
      <c r="V3" s="24">
        <v>102</v>
      </c>
      <c r="W3" s="24">
        <v>103.5</v>
      </c>
      <c r="X3" s="24">
        <v>105</v>
      </c>
      <c r="Y3" s="166">
        <v>106.5</v>
      </c>
      <c r="Z3" s="166">
        <v>108</v>
      </c>
      <c r="AA3" s="166">
        <v>109.5</v>
      </c>
      <c r="AB3" s="166">
        <v>111</v>
      </c>
      <c r="AC3" s="166">
        <v>112.5</v>
      </c>
      <c r="AD3" s="166">
        <v>114</v>
      </c>
      <c r="AE3" s="166">
        <v>116</v>
      </c>
      <c r="AF3" s="166">
        <v>117.5</v>
      </c>
      <c r="AG3" s="25">
        <v>33.5</v>
      </c>
      <c r="AH3" s="49">
        <v>10.9</v>
      </c>
      <c r="AJ3">
        <f>AH3*2</f>
        <v>21.8</v>
      </c>
    </row>
    <row r="4" spans="1:36" ht="12.75">
      <c r="A4" s="22" t="s">
        <v>4</v>
      </c>
      <c r="B4" s="23">
        <v>5874</v>
      </c>
      <c r="C4" s="23">
        <f>IF($B$32&gt;B3,+IF($B$32&lt;'rekenblad 1'!B4,1,0))</f>
        <v>0</v>
      </c>
      <c r="D4" s="166">
        <v>79.5</v>
      </c>
      <c r="E4" s="166">
        <v>81</v>
      </c>
      <c r="F4" s="166">
        <v>82.5</v>
      </c>
      <c r="G4" s="166">
        <v>84</v>
      </c>
      <c r="H4" s="24">
        <v>85.5</v>
      </c>
      <c r="I4" s="24">
        <v>87</v>
      </c>
      <c r="J4" s="24">
        <v>88.5</v>
      </c>
      <c r="K4" s="24">
        <v>90</v>
      </c>
      <c r="L4" s="24">
        <v>91.5</v>
      </c>
      <c r="M4" s="24">
        <v>93</v>
      </c>
      <c r="N4" s="24">
        <v>94.5</v>
      </c>
      <c r="O4" s="24">
        <v>96</v>
      </c>
      <c r="P4" s="24">
        <v>97.5</v>
      </c>
      <c r="Q4" s="24">
        <v>99</v>
      </c>
      <c r="R4" s="24">
        <v>100.5</v>
      </c>
      <c r="S4" s="24">
        <v>102</v>
      </c>
      <c r="T4" s="24">
        <v>103.5</v>
      </c>
      <c r="U4" s="24">
        <v>105</v>
      </c>
      <c r="V4" s="24">
        <v>106.5</v>
      </c>
      <c r="W4" s="24">
        <v>108</v>
      </c>
      <c r="X4" s="24">
        <v>109.5</v>
      </c>
      <c r="Y4" s="166">
        <v>111</v>
      </c>
      <c r="Z4" s="166">
        <v>112.5</v>
      </c>
      <c r="AA4" s="166">
        <v>114</v>
      </c>
      <c r="AB4" s="166">
        <v>115.5</v>
      </c>
      <c r="AC4" s="166">
        <v>117</v>
      </c>
      <c r="AD4" s="166">
        <v>118.5</v>
      </c>
      <c r="AE4" s="166">
        <v>120</v>
      </c>
      <c r="AF4" s="166">
        <v>121.5</v>
      </c>
      <c r="AG4" s="25">
        <v>35</v>
      </c>
      <c r="AH4" s="49">
        <v>11.1</v>
      </c>
      <c r="AJ4">
        <f aca="true" t="shared" si="0" ref="AJ4:AJ27">AH4*2</f>
        <v>22.2</v>
      </c>
    </row>
    <row r="5" spans="1:36" ht="12.75">
      <c r="A5" s="22" t="s">
        <v>5</v>
      </c>
      <c r="B5" s="23">
        <f>B4+250</f>
        <v>6124</v>
      </c>
      <c r="C5" s="23">
        <f>IF($B$32&gt;B4,+IF($B$32&lt;'rekenblad 1'!B5,1,0))</f>
        <v>0</v>
      </c>
      <c r="D5" s="166">
        <v>81.4</v>
      </c>
      <c r="E5" s="166">
        <v>83</v>
      </c>
      <c r="F5" s="166">
        <v>84.5</v>
      </c>
      <c r="G5" s="166">
        <v>86</v>
      </c>
      <c r="H5" s="24">
        <v>87.5</v>
      </c>
      <c r="I5" s="24">
        <v>89</v>
      </c>
      <c r="J5" s="24">
        <v>90.5</v>
      </c>
      <c r="K5" s="24">
        <v>92</v>
      </c>
      <c r="L5" s="24">
        <v>93.5</v>
      </c>
      <c r="M5" s="24">
        <v>95</v>
      </c>
      <c r="N5" s="24">
        <v>96.5</v>
      </c>
      <c r="O5" s="24">
        <v>98</v>
      </c>
      <c r="P5" s="24">
        <v>99.5</v>
      </c>
      <c r="Q5" s="24">
        <v>101</v>
      </c>
      <c r="R5" s="24">
        <v>102.5</v>
      </c>
      <c r="S5" s="24">
        <v>104</v>
      </c>
      <c r="T5" s="24">
        <v>105.5</v>
      </c>
      <c r="U5" s="24">
        <v>107</v>
      </c>
      <c r="V5" s="24">
        <v>108.5</v>
      </c>
      <c r="W5" s="24">
        <v>110</v>
      </c>
      <c r="X5" s="24">
        <v>111.5</v>
      </c>
      <c r="Y5" s="166">
        <v>113</v>
      </c>
      <c r="Z5" s="166">
        <v>114.5</v>
      </c>
      <c r="AA5" s="166">
        <v>116</v>
      </c>
      <c r="AB5" s="166">
        <v>117.5</v>
      </c>
      <c r="AC5" s="166">
        <v>119</v>
      </c>
      <c r="AD5" s="166">
        <v>120.5</v>
      </c>
      <c r="AE5" s="166">
        <v>122</v>
      </c>
      <c r="AF5" s="166">
        <v>123.5</v>
      </c>
      <c r="AG5" s="25">
        <v>35.7</v>
      </c>
      <c r="AH5" s="49">
        <v>11.3</v>
      </c>
      <c r="AJ5">
        <f t="shared" si="0"/>
        <v>22.6</v>
      </c>
    </row>
    <row r="6" spans="1:36" ht="12.75">
      <c r="A6" s="22" t="s">
        <v>6</v>
      </c>
      <c r="B6" s="23">
        <f aca="true" t="shared" si="1" ref="B6:B23">B5+250</f>
        <v>6374</v>
      </c>
      <c r="C6" s="23">
        <f>IF($B$32&gt;B5,+IF($B$32&lt;'rekenblad 1'!B6,1,0))</f>
        <v>0</v>
      </c>
      <c r="D6" s="166">
        <v>83.5</v>
      </c>
      <c r="E6" s="166">
        <v>85</v>
      </c>
      <c r="F6" s="166">
        <v>86.5</v>
      </c>
      <c r="G6" s="166">
        <v>88</v>
      </c>
      <c r="H6" s="24">
        <v>89.5</v>
      </c>
      <c r="I6" s="24">
        <v>91</v>
      </c>
      <c r="J6" s="24">
        <v>92.5</v>
      </c>
      <c r="K6" s="24">
        <v>94</v>
      </c>
      <c r="L6" s="24">
        <v>95.5</v>
      </c>
      <c r="M6" s="24">
        <v>97</v>
      </c>
      <c r="N6" s="24">
        <v>98.5</v>
      </c>
      <c r="O6" s="24">
        <v>100</v>
      </c>
      <c r="P6" s="24">
        <v>101.5</v>
      </c>
      <c r="Q6" s="24">
        <v>103</v>
      </c>
      <c r="R6" s="24">
        <v>104.5</v>
      </c>
      <c r="S6" s="24">
        <v>106</v>
      </c>
      <c r="T6" s="24">
        <v>107.5</v>
      </c>
      <c r="U6" s="24">
        <v>109</v>
      </c>
      <c r="V6" s="24">
        <v>110.5</v>
      </c>
      <c r="W6" s="24">
        <v>112</v>
      </c>
      <c r="X6" s="24">
        <v>113.5</v>
      </c>
      <c r="Y6" s="166">
        <v>115</v>
      </c>
      <c r="Z6" s="166">
        <v>116.5</v>
      </c>
      <c r="AA6" s="166">
        <v>118</v>
      </c>
      <c r="AB6" s="166">
        <v>119.5</v>
      </c>
      <c r="AC6" s="166">
        <v>121</v>
      </c>
      <c r="AD6" s="166">
        <v>122.5</v>
      </c>
      <c r="AE6" s="166">
        <v>124</v>
      </c>
      <c r="AF6" s="166">
        <v>125.5</v>
      </c>
      <c r="AG6" s="25">
        <v>36.4</v>
      </c>
      <c r="AH6" s="49">
        <v>11.5</v>
      </c>
      <c r="AJ6">
        <f t="shared" si="0"/>
        <v>23</v>
      </c>
    </row>
    <row r="7" spans="1:36" ht="12.75">
      <c r="A7" s="22" t="s">
        <v>7</v>
      </c>
      <c r="B7" s="23">
        <f t="shared" si="1"/>
        <v>6624</v>
      </c>
      <c r="C7" s="23">
        <f>IF($B$32&gt;B6,+IF($B$32&lt;'rekenblad 1'!B7,1,0))</f>
        <v>0</v>
      </c>
      <c r="D7" s="166">
        <v>85.5</v>
      </c>
      <c r="E7" s="166">
        <v>87</v>
      </c>
      <c r="F7" s="166">
        <v>88.5</v>
      </c>
      <c r="G7" s="166">
        <v>90</v>
      </c>
      <c r="H7" s="24">
        <v>91.5</v>
      </c>
      <c r="I7" s="24">
        <v>93</v>
      </c>
      <c r="J7" s="24">
        <v>94.5</v>
      </c>
      <c r="K7" s="24">
        <v>96</v>
      </c>
      <c r="L7" s="24">
        <v>97.5</v>
      </c>
      <c r="M7" s="24">
        <v>99</v>
      </c>
      <c r="N7" s="24">
        <v>100.5</v>
      </c>
      <c r="O7" s="24">
        <v>102</v>
      </c>
      <c r="P7" s="24">
        <v>103.5</v>
      </c>
      <c r="Q7" s="24">
        <v>105</v>
      </c>
      <c r="R7" s="24">
        <v>106.5</v>
      </c>
      <c r="S7" s="24">
        <v>108</v>
      </c>
      <c r="T7" s="24">
        <v>109.5</v>
      </c>
      <c r="U7" s="24">
        <v>111</v>
      </c>
      <c r="V7" s="24">
        <v>112.5</v>
      </c>
      <c r="W7" s="24">
        <v>114</v>
      </c>
      <c r="X7" s="24">
        <v>115.5</v>
      </c>
      <c r="Y7" s="166">
        <v>117</v>
      </c>
      <c r="Z7" s="166">
        <v>118.5</v>
      </c>
      <c r="AA7" s="166">
        <v>120</v>
      </c>
      <c r="AB7" s="166">
        <v>121.5</v>
      </c>
      <c r="AC7" s="166">
        <v>123</v>
      </c>
      <c r="AD7" s="166">
        <v>124.5</v>
      </c>
      <c r="AE7" s="166">
        <v>126</v>
      </c>
      <c r="AF7" s="166">
        <v>127.5</v>
      </c>
      <c r="AG7" s="25">
        <v>37.1</v>
      </c>
      <c r="AH7" s="49">
        <v>11.8</v>
      </c>
      <c r="AJ7">
        <f t="shared" si="0"/>
        <v>23.6</v>
      </c>
    </row>
    <row r="8" spans="1:36" ht="12.75">
      <c r="A8" s="22" t="s">
        <v>8</v>
      </c>
      <c r="B8" s="23">
        <f t="shared" si="1"/>
        <v>6874</v>
      </c>
      <c r="C8" s="23">
        <f>IF($B$32&gt;B7,+IF($B$32&lt;'rekenblad 1'!B8,1,0))</f>
        <v>0</v>
      </c>
      <c r="D8" s="166">
        <v>87</v>
      </c>
      <c r="E8" s="166">
        <v>88.5</v>
      </c>
      <c r="F8" s="166">
        <v>90.5</v>
      </c>
      <c r="G8" s="166">
        <v>92</v>
      </c>
      <c r="H8" s="24">
        <v>93.5</v>
      </c>
      <c r="I8" s="24">
        <v>95</v>
      </c>
      <c r="J8" s="24">
        <v>96.5</v>
      </c>
      <c r="K8" s="24">
        <v>98</v>
      </c>
      <c r="L8" s="24">
        <v>99.5</v>
      </c>
      <c r="M8" s="24">
        <v>101</v>
      </c>
      <c r="N8" s="24">
        <v>102.5</v>
      </c>
      <c r="O8" s="24">
        <v>104</v>
      </c>
      <c r="P8" s="24">
        <v>105.5</v>
      </c>
      <c r="Q8" s="24">
        <v>107</v>
      </c>
      <c r="R8" s="24">
        <v>108.5</v>
      </c>
      <c r="S8" s="24">
        <v>110</v>
      </c>
      <c r="T8" s="24">
        <v>111.5</v>
      </c>
      <c r="U8" s="24">
        <v>113</v>
      </c>
      <c r="V8" s="24">
        <v>114.5</v>
      </c>
      <c r="W8" s="24">
        <v>116</v>
      </c>
      <c r="X8" s="24">
        <v>117.5</v>
      </c>
      <c r="Y8" s="166">
        <v>119</v>
      </c>
      <c r="Z8" s="166">
        <v>120.5</v>
      </c>
      <c r="AA8" s="166">
        <v>122</v>
      </c>
      <c r="AB8" s="166">
        <v>123.5</v>
      </c>
      <c r="AC8" s="166">
        <v>125</v>
      </c>
      <c r="AD8" s="166">
        <v>126.5</v>
      </c>
      <c r="AE8" s="166">
        <v>128</v>
      </c>
      <c r="AF8" s="166">
        <v>129.5</v>
      </c>
      <c r="AG8" s="25">
        <v>37.7</v>
      </c>
      <c r="AH8" s="49">
        <v>12</v>
      </c>
      <c r="AJ8">
        <f t="shared" si="0"/>
        <v>24</v>
      </c>
    </row>
    <row r="9" spans="1:36" ht="12.75">
      <c r="A9" s="22" t="s">
        <v>9</v>
      </c>
      <c r="B9" s="23">
        <f t="shared" si="1"/>
        <v>7124</v>
      </c>
      <c r="C9" s="23">
        <f>IF($B$32&gt;B8,+IF($B$32&lt;'rekenblad 1'!B9,1,0))</f>
        <v>0</v>
      </c>
      <c r="D9" s="166">
        <v>89</v>
      </c>
      <c r="E9" s="166">
        <v>90.5</v>
      </c>
      <c r="F9" s="166">
        <v>92</v>
      </c>
      <c r="G9" s="166">
        <v>93.5</v>
      </c>
      <c r="H9" s="24">
        <v>95</v>
      </c>
      <c r="I9" s="24">
        <v>97</v>
      </c>
      <c r="J9" s="24">
        <v>98.5</v>
      </c>
      <c r="K9" s="24">
        <v>100</v>
      </c>
      <c r="L9" s="24">
        <v>101.5</v>
      </c>
      <c r="M9" s="24">
        <v>103</v>
      </c>
      <c r="N9" s="24">
        <v>104.5</v>
      </c>
      <c r="O9" s="24">
        <v>106</v>
      </c>
      <c r="P9" s="24">
        <v>107.5</v>
      </c>
      <c r="Q9" s="24">
        <v>109</v>
      </c>
      <c r="R9" s="24">
        <v>110.5</v>
      </c>
      <c r="S9" s="24">
        <v>112</v>
      </c>
      <c r="T9" s="24">
        <v>113.5</v>
      </c>
      <c r="U9" s="24">
        <v>115</v>
      </c>
      <c r="V9" s="24">
        <v>116.5</v>
      </c>
      <c r="W9" s="24">
        <v>118</v>
      </c>
      <c r="X9" s="24">
        <v>119.5</v>
      </c>
      <c r="Y9" s="166">
        <v>121</v>
      </c>
      <c r="Z9" s="166">
        <v>122.5</v>
      </c>
      <c r="AA9" s="166">
        <v>124</v>
      </c>
      <c r="AB9" s="166">
        <v>125.5</v>
      </c>
      <c r="AC9" s="166">
        <v>127</v>
      </c>
      <c r="AD9" s="166">
        <v>128.5</v>
      </c>
      <c r="AE9" s="166">
        <v>130</v>
      </c>
      <c r="AF9" s="166">
        <v>131.5</v>
      </c>
      <c r="AG9" s="25">
        <v>38.4</v>
      </c>
      <c r="AH9" s="49">
        <v>12.2</v>
      </c>
      <c r="AJ9">
        <f t="shared" si="0"/>
        <v>24.4</v>
      </c>
    </row>
    <row r="10" spans="1:36" ht="12.75">
      <c r="A10" s="22" t="s">
        <v>10</v>
      </c>
      <c r="B10" s="23">
        <f t="shared" si="1"/>
        <v>7374</v>
      </c>
      <c r="C10" s="23">
        <f>IF($B$32&gt;B9,+IF($B$32&lt;'rekenblad 1'!B10,1,0))</f>
        <v>0</v>
      </c>
      <c r="D10" s="166">
        <v>91</v>
      </c>
      <c r="E10" s="166">
        <v>92.5</v>
      </c>
      <c r="F10" s="166">
        <v>94</v>
      </c>
      <c r="G10" s="166">
        <v>95.5</v>
      </c>
      <c r="H10" s="24">
        <v>97</v>
      </c>
      <c r="I10" s="24">
        <v>98.5</v>
      </c>
      <c r="J10" s="24">
        <v>100.5</v>
      </c>
      <c r="K10" s="24">
        <v>101.5</v>
      </c>
      <c r="L10" s="24">
        <v>103</v>
      </c>
      <c r="M10" s="24">
        <v>105</v>
      </c>
      <c r="N10" s="24">
        <v>106.5</v>
      </c>
      <c r="O10" s="24">
        <v>108</v>
      </c>
      <c r="P10" s="24">
        <v>109.5</v>
      </c>
      <c r="Q10" s="24">
        <v>111</v>
      </c>
      <c r="R10" s="24">
        <v>112.5</v>
      </c>
      <c r="S10" s="24">
        <v>114</v>
      </c>
      <c r="T10" s="24">
        <v>115.5</v>
      </c>
      <c r="U10" s="24">
        <v>117</v>
      </c>
      <c r="V10" s="24">
        <v>118.5</v>
      </c>
      <c r="W10" s="24">
        <v>120</v>
      </c>
      <c r="X10" s="24">
        <v>121.5</v>
      </c>
      <c r="Y10" s="166">
        <v>123</v>
      </c>
      <c r="Z10" s="166">
        <v>124.5</v>
      </c>
      <c r="AA10" s="166">
        <v>126</v>
      </c>
      <c r="AB10" s="166">
        <v>127.5</v>
      </c>
      <c r="AC10" s="166">
        <v>129</v>
      </c>
      <c r="AD10" s="166">
        <v>130.5</v>
      </c>
      <c r="AE10" s="166">
        <v>132</v>
      </c>
      <c r="AF10" s="166">
        <v>133.5</v>
      </c>
      <c r="AG10" s="25">
        <v>39.1</v>
      </c>
      <c r="AH10" s="49">
        <v>12.4</v>
      </c>
      <c r="AJ10">
        <f t="shared" si="0"/>
        <v>24.8</v>
      </c>
    </row>
    <row r="11" spans="1:36" ht="12.75">
      <c r="A11" s="22" t="s">
        <v>11</v>
      </c>
      <c r="B11" s="23">
        <f t="shared" si="1"/>
        <v>7624</v>
      </c>
      <c r="C11" s="23">
        <f>IF($B$32&gt;B10,+IF($B$32&lt;'rekenblad 1'!B11,1,0))</f>
        <v>0</v>
      </c>
      <c r="D11" s="166">
        <v>93</v>
      </c>
      <c r="E11" s="166">
        <v>94.5</v>
      </c>
      <c r="F11" s="166">
        <v>96</v>
      </c>
      <c r="G11" s="166">
        <v>97.5</v>
      </c>
      <c r="H11" s="24">
        <v>99</v>
      </c>
      <c r="I11" s="24">
        <v>100.5</v>
      </c>
      <c r="J11" s="24">
        <v>102</v>
      </c>
      <c r="K11" s="24">
        <v>103.5</v>
      </c>
      <c r="L11" s="24">
        <v>105</v>
      </c>
      <c r="M11" s="24">
        <v>106.5</v>
      </c>
      <c r="N11" s="24">
        <v>108</v>
      </c>
      <c r="O11" s="24">
        <v>109.5</v>
      </c>
      <c r="P11" s="24">
        <v>111</v>
      </c>
      <c r="Q11" s="24">
        <v>113</v>
      </c>
      <c r="R11" s="24">
        <v>114.5</v>
      </c>
      <c r="S11" s="24">
        <v>116</v>
      </c>
      <c r="T11" s="24">
        <v>117.5</v>
      </c>
      <c r="U11" s="24">
        <v>119</v>
      </c>
      <c r="V11" s="24">
        <v>120.5</v>
      </c>
      <c r="W11" s="24">
        <v>122</v>
      </c>
      <c r="X11" s="24">
        <v>123.5</v>
      </c>
      <c r="Y11" s="166">
        <v>125</v>
      </c>
      <c r="Z11" s="166">
        <v>126.5</v>
      </c>
      <c r="AA11" s="166">
        <v>128</v>
      </c>
      <c r="AB11" s="166">
        <v>129.5</v>
      </c>
      <c r="AC11" s="166">
        <v>131</v>
      </c>
      <c r="AD11" s="166">
        <v>132.5</v>
      </c>
      <c r="AE11" s="166">
        <v>134</v>
      </c>
      <c r="AF11" s="166">
        <v>135.5</v>
      </c>
      <c r="AG11" s="25">
        <v>39.8</v>
      </c>
      <c r="AH11" s="49">
        <v>12.6</v>
      </c>
      <c r="AJ11">
        <f t="shared" si="0"/>
        <v>25.2</v>
      </c>
    </row>
    <row r="12" spans="1:36" ht="12.75">
      <c r="A12" s="22" t="s">
        <v>12</v>
      </c>
      <c r="B12" s="23">
        <f t="shared" si="1"/>
        <v>7874</v>
      </c>
      <c r="C12" s="23">
        <f>IF($B$32&gt;B11,+IF($B$32&lt;'rekenblad 1'!B12,1,0))</f>
        <v>0</v>
      </c>
      <c r="D12" s="166">
        <v>95</v>
      </c>
      <c r="E12" s="166">
        <v>96.5</v>
      </c>
      <c r="F12" s="166">
        <v>98</v>
      </c>
      <c r="G12" s="166">
        <v>99.5</v>
      </c>
      <c r="H12" s="24">
        <v>101</v>
      </c>
      <c r="I12" s="24">
        <v>102.5</v>
      </c>
      <c r="J12" s="24">
        <v>104</v>
      </c>
      <c r="K12" s="24">
        <v>105.5</v>
      </c>
      <c r="L12" s="24">
        <v>107</v>
      </c>
      <c r="M12" s="24">
        <v>108.5</v>
      </c>
      <c r="N12" s="24">
        <v>110</v>
      </c>
      <c r="O12" s="24">
        <v>111.5</v>
      </c>
      <c r="P12" s="24">
        <v>113</v>
      </c>
      <c r="Q12" s="24">
        <v>114.5</v>
      </c>
      <c r="R12" s="24">
        <v>116</v>
      </c>
      <c r="S12" s="24">
        <v>117.5</v>
      </c>
      <c r="T12" s="24">
        <v>119</v>
      </c>
      <c r="U12" s="24">
        <v>121</v>
      </c>
      <c r="V12" s="24">
        <v>122.5</v>
      </c>
      <c r="W12" s="24">
        <v>124</v>
      </c>
      <c r="X12" s="24">
        <v>125.5</v>
      </c>
      <c r="Y12" s="166">
        <v>127</v>
      </c>
      <c r="Z12" s="166">
        <v>128.5</v>
      </c>
      <c r="AA12" s="166">
        <v>130</v>
      </c>
      <c r="AB12" s="166">
        <v>131.5</v>
      </c>
      <c r="AC12" s="166">
        <v>133</v>
      </c>
      <c r="AD12" s="166">
        <v>134.5</v>
      </c>
      <c r="AE12" s="166">
        <v>136</v>
      </c>
      <c r="AF12" s="166">
        <v>137.5</v>
      </c>
      <c r="AG12" s="25">
        <v>40.5</v>
      </c>
      <c r="AH12" s="49">
        <v>12.8</v>
      </c>
      <c r="AJ12">
        <f t="shared" si="0"/>
        <v>25.6</v>
      </c>
    </row>
    <row r="13" spans="1:36" ht="12.75">
      <c r="A13" s="22" t="s">
        <v>13</v>
      </c>
      <c r="B13" s="23">
        <f t="shared" si="1"/>
        <v>8124</v>
      </c>
      <c r="C13" s="23">
        <f>IF($B$32&gt;B12,+IF($B$32&lt;'rekenblad 1'!B13,1,0))</f>
        <v>0</v>
      </c>
      <c r="D13" s="166">
        <v>97</v>
      </c>
      <c r="E13" s="166">
        <v>98.5</v>
      </c>
      <c r="F13" s="166">
        <v>100</v>
      </c>
      <c r="G13" s="166">
        <v>101.5</v>
      </c>
      <c r="H13" s="24">
        <v>103</v>
      </c>
      <c r="I13" s="24">
        <v>104.5</v>
      </c>
      <c r="J13" s="24">
        <v>106</v>
      </c>
      <c r="K13" s="24">
        <v>107.5</v>
      </c>
      <c r="L13" s="24">
        <v>109</v>
      </c>
      <c r="M13" s="24">
        <v>110.5</v>
      </c>
      <c r="N13" s="24">
        <v>112</v>
      </c>
      <c r="O13" s="24">
        <v>113.5</v>
      </c>
      <c r="P13" s="24">
        <v>115</v>
      </c>
      <c r="Q13" s="24">
        <v>116.5</v>
      </c>
      <c r="R13" s="24">
        <v>118</v>
      </c>
      <c r="S13" s="24">
        <v>119.5</v>
      </c>
      <c r="T13" s="24">
        <v>121</v>
      </c>
      <c r="U13" s="24">
        <v>122.5</v>
      </c>
      <c r="V13" s="24">
        <v>124</v>
      </c>
      <c r="W13" s="24">
        <v>125.5</v>
      </c>
      <c r="X13" s="24">
        <v>127.5</v>
      </c>
      <c r="Y13" s="166">
        <v>129</v>
      </c>
      <c r="Z13" s="166">
        <v>130.5</v>
      </c>
      <c r="AA13" s="166">
        <v>132</v>
      </c>
      <c r="AB13" s="166">
        <v>133.5</v>
      </c>
      <c r="AC13" s="166">
        <v>135</v>
      </c>
      <c r="AD13" s="166">
        <v>136.5</v>
      </c>
      <c r="AE13" s="166">
        <v>138</v>
      </c>
      <c r="AF13" s="166">
        <v>139.5</v>
      </c>
      <c r="AG13" s="25">
        <v>41.2</v>
      </c>
      <c r="AH13" s="49">
        <v>13.1</v>
      </c>
      <c r="AJ13">
        <f t="shared" si="0"/>
        <v>26.2</v>
      </c>
    </row>
    <row r="14" spans="1:36" ht="12.75">
      <c r="A14" s="22" t="s">
        <v>14</v>
      </c>
      <c r="B14" s="23">
        <f t="shared" si="1"/>
        <v>8374</v>
      </c>
      <c r="C14" s="23">
        <f>IF($B$32&gt;B13,+IF($B$32&lt;'rekenblad 1'!B14,1,0))</f>
        <v>1</v>
      </c>
      <c r="D14" s="166">
        <v>99</v>
      </c>
      <c r="E14" s="166">
        <v>100.5</v>
      </c>
      <c r="F14" s="166">
        <v>102</v>
      </c>
      <c r="G14" s="166">
        <v>103.5</v>
      </c>
      <c r="H14" s="24">
        <v>105</v>
      </c>
      <c r="I14" s="24">
        <v>106.5</v>
      </c>
      <c r="J14" s="24">
        <v>108</v>
      </c>
      <c r="K14" s="24">
        <v>109.5</v>
      </c>
      <c r="L14" s="24">
        <v>111</v>
      </c>
      <c r="M14" s="24">
        <v>112.5</v>
      </c>
      <c r="N14" s="24">
        <v>114</v>
      </c>
      <c r="O14" s="24">
        <v>115.5</v>
      </c>
      <c r="P14" s="24">
        <v>117</v>
      </c>
      <c r="Q14" s="24">
        <v>118.5</v>
      </c>
      <c r="R14" s="24">
        <v>120</v>
      </c>
      <c r="S14" s="24">
        <v>121.5</v>
      </c>
      <c r="T14" s="24">
        <v>123</v>
      </c>
      <c r="U14" s="24">
        <v>124.5</v>
      </c>
      <c r="V14" s="24">
        <v>126</v>
      </c>
      <c r="W14" s="24">
        <v>127.5</v>
      </c>
      <c r="X14" s="24">
        <v>129</v>
      </c>
      <c r="Y14" s="166">
        <v>130.5</v>
      </c>
      <c r="Z14" s="166">
        <v>132</v>
      </c>
      <c r="AA14" s="166">
        <v>133.5</v>
      </c>
      <c r="AB14" s="166">
        <v>135.5</v>
      </c>
      <c r="AC14" s="166">
        <v>137</v>
      </c>
      <c r="AD14" s="166">
        <v>138.5</v>
      </c>
      <c r="AE14" s="166">
        <v>140</v>
      </c>
      <c r="AF14" s="166">
        <v>141.5</v>
      </c>
      <c r="AG14" s="25">
        <v>41.9</v>
      </c>
      <c r="AH14" s="49">
        <v>13.3</v>
      </c>
      <c r="AJ14">
        <f t="shared" si="0"/>
        <v>26.6</v>
      </c>
    </row>
    <row r="15" spans="1:36" ht="12.75">
      <c r="A15" s="22" t="s">
        <v>15</v>
      </c>
      <c r="B15" s="23">
        <f t="shared" si="1"/>
        <v>8624</v>
      </c>
      <c r="C15" s="23" t="b">
        <f>IF($B$32&gt;B14,+IF($B$32&lt;'rekenblad 1'!B15,1,0))</f>
        <v>0</v>
      </c>
      <c r="D15" s="166">
        <v>101</v>
      </c>
      <c r="E15" s="166">
        <v>102.5</v>
      </c>
      <c r="F15" s="166">
        <v>104</v>
      </c>
      <c r="G15" s="166">
        <v>105.5</v>
      </c>
      <c r="H15" s="24">
        <v>107</v>
      </c>
      <c r="I15" s="24">
        <v>108.5</v>
      </c>
      <c r="J15" s="24">
        <v>110</v>
      </c>
      <c r="K15" s="24">
        <v>111.5</v>
      </c>
      <c r="L15" s="24">
        <v>113</v>
      </c>
      <c r="M15" s="24">
        <v>114.5</v>
      </c>
      <c r="N15" s="24">
        <v>116</v>
      </c>
      <c r="O15" s="24">
        <v>117.5</v>
      </c>
      <c r="P15" s="24">
        <v>119</v>
      </c>
      <c r="Q15" s="24">
        <v>120.5</v>
      </c>
      <c r="R15" s="24">
        <v>122</v>
      </c>
      <c r="S15" s="24">
        <v>123.5</v>
      </c>
      <c r="T15" s="24">
        <v>125</v>
      </c>
      <c r="U15" s="24">
        <v>126.5</v>
      </c>
      <c r="V15" s="24">
        <v>128</v>
      </c>
      <c r="W15" s="24">
        <v>129.5</v>
      </c>
      <c r="X15" s="24">
        <v>131</v>
      </c>
      <c r="Y15" s="166">
        <v>132.5</v>
      </c>
      <c r="Z15" s="166">
        <v>134</v>
      </c>
      <c r="AA15" s="166">
        <v>135.5</v>
      </c>
      <c r="AB15" s="166">
        <v>137</v>
      </c>
      <c r="AC15" s="166">
        <v>139</v>
      </c>
      <c r="AD15" s="166">
        <v>140</v>
      </c>
      <c r="AE15" s="166">
        <v>141.5</v>
      </c>
      <c r="AF15" s="166">
        <v>143.5</v>
      </c>
      <c r="AG15" s="25">
        <v>42.6</v>
      </c>
      <c r="AH15" s="49">
        <v>13.5</v>
      </c>
      <c r="AJ15">
        <f t="shared" si="0"/>
        <v>27</v>
      </c>
    </row>
    <row r="16" spans="1:36" ht="12.75">
      <c r="A16" s="22" t="s">
        <v>16</v>
      </c>
      <c r="B16" s="23">
        <f t="shared" si="1"/>
        <v>8874</v>
      </c>
      <c r="C16" s="23" t="b">
        <f>IF($B$32&gt;B15,+IF($B$32&lt;'rekenblad 1'!B16,1,0))</f>
        <v>0</v>
      </c>
      <c r="D16" s="166">
        <v>103</v>
      </c>
      <c r="E16" s="166">
        <v>104.5</v>
      </c>
      <c r="F16" s="166">
        <v>106</v>
      </c>
      <c r="G16" s="166">
        <v>107.5</v>
      </c>
      <c r="H16" s="24">
        <v>109</v>
      </c>
      <c r="I16" s="24">
        <v>110.5</v>
      </c>
      <c r="J16" s="24">
        <v>112</v>
      </c>
      <c r="K16" s="24">
        <v>113.5</v>
      </c>
      <c r="L16" s="24">
        <v>115</v>
      </c>
      <c r="M16" s="24">
        <v>116.5</v>
      </c>
      <c r="N16" s="24">
        <v>118</v>
      </c>
      <c r="O16" s="24">
        <v>119.5</v>
      </c>
      <c r="P16" s="24">
        <v>121</v>
      </c>
      <c r="Q16" s="24">
        <v>122.5</v>
      </c>
      <c r="R16" s="24">
        <v>124</v>
      </c>
      <c r="S16" s="24">
        <v>125.5</v>
      </c>
      <c r="T16" s="24">
        <v>127</v>
      </c>
      <c r="U16" s="24">
        <v>128.5</v>
      </c>
      <c r="V16" s="24">
        <v>130</v>
      </c>
      <c r="W16" s="24">
        <v>131.5</v>
      </c>
      <c r="X16" s="24">
        <v>133</v>
      </c>
      <c r="Y16" s="166">
        <v>134.5</v>
      </c>
      <c r="Z16" s="166">
        <v>136</v>
      </c>
      <c r="AA16" s="166">
        <v>137.5</v>
      </c>
      <c r="AB16" s="166">
        <v>139</v>
      </c>
      <c r="AC16" s="166">
        <v>140.5</v>
      </c>
      <c r="AD16" s="166">
        <v>142</v>
      </c>
      <c r="AE16" s="166">
        <v>143.5</v>
      </c>
      <c r="AF16" s="166">
        <v>145</v>
      </c>
      <c r="AG16" s="25">
        <v>43.2</v>
      </c>
      <c r="AH16" s="49">
        <v>13.7</v>
      </c>
      <c r="AJ16">
        <f t="shared" si="0"/>
        <v>27.4</v>
      </c>
    </row>
    <row r="17" spans="1:36" ht="12.75">
      <c r="A17" s="22" t="s">
        <v>17</v>
      </c>
      <c r="B17" s="23">
        <f t="shared" si="1"/>
        <v>9124</v>
      </c>
      <c r="C17" s="23" t="b">
        <f>IF($B$32&gt;B16,+IF($B$32&lt;'rekenblad 1'!B17,1,0))</f>
        <v>0</v>
      </c>
      <c r="D17" s="166">
        <v>105</v>
      </c>
      <c r="E17" s="166">
        <v>106.5</v>
      </c>
      <c r="F17" s="166">
        <v>108</v>
      </c>
      <c r="G17" s="166">
        <v>109.5</v>
      </c>
      <c r="H17" s="24">
        <v>111</v>
      </c>
      <c r="I17" s="24">
        <v>112.5</v>
      </c>
      <c r="J17" s="24">
        <v>114</v>
      </c>
      <c r="K17" s="24">
        <v>115.5</v>
      </c>
      <c r="L17" s="24">
        <v>117</v>
      </c>
      <c r="M17" s="24">
        <v>118.5</v>
      </c>
      <c r="N17" s="24">
        <v>120</v>
      </c>
      <c r="O17" s="24">
        <v>121.5</v>
      </c>
      <c r="P17" s="24">
        <v>123</v>
      </c>
      <c r="Q17" s="24">
        <v>124.5</v>
      </c>
      <c r="R17" s="24">
        <v>126</v>
      </c>
      <c r="S17" s="24">
        <v>127.5</v>
      </c>
      <c r="T17" s="24">
        <v>129</v>
      </c>
      <c r="U17" s="24">
        <v>130.5</v>
      </c>
      <c r="V17" s="24">
        <v>132</v>
      </c>
      <c r="W17" s="24">
        <v>133.5</v>
      </c>
      <c r="X17" s="24">
        <v>135</v>
      </c>
      <c r="Y17" s="166">
        <v>136.5</v>
      </c>
      <c r="Z17" s="166">
        <v>138</v>
      </c>
      <c r="AA17" s="166">
        <v>139.5</v>
      </c>
      <c r="AB17" s="166">
        <v>141</v>
      </c>
      <c r="AC17" s="166">
        <v>142.5</v>
      </c>
      <c r="AD17" s="166">
        <v>144</v>
      </c>
      <c r="AE17" s="166">
        <v>145.5</v>
      </c>
      <c r="AF17" s="166">
        <v>147</v>
      </c>
      <c r="AG17" s="25">
        <v>43.9</v>
      </c>
      <c r="AH17" s="49">
        <v>13.9</v>
      </c>
      <c r="AJ17">
        <f t="shared" si="0"/>
        <v>27.8</v>
      </c>
    </row>
    <row r="18" spans="1:36" ht="12.75">
      <c r="A18" s="22" t="s">
        <v>18</v>
      </c>
      <c r="B18" s="23">
        <f t="shared" si="1"/>
        <v>9374</v>
      </c>
      <c r="C18" s="23" t="b">
        <f>IF($B$32&gt;B17,+IF($B$32&lt;'rekenblad 1'!B18,1,0))</f>
        <v>0</v>
      </c>
      <c r="D18" s="166">
        <v>107</v>
      </c>
      <c r="E18" s="166">
        <v>108.5</v>
      </c>
      <c r="F18" s="166">
        <v>110</v>
      </c>
      <c r="G18" s="166">
        <v>111.5</v>
      </c>
      <c r="H18" s="24">
        <v>113</v>
      </c>
      <c r="I18" s="24">
        <v>114.5</v>
      </c>
      <c r="J18" s="24">
        <v>116</v>
      </c>
      <c r="K18" s="24">
        <v>117.5</v>
      </c>
      <c r="L18" s="24">
        <v>119</v>
      </c>
      <c r="M18" s="24">
        <v>120.5</v>
      </c>
      <c r="N18" s="24">
        <v>122</v>
      </c>
      <c r="O18" s="24">
        <v>123.5</v>
      </c>
      <c r="P18" s="24">
        <v>125</v>
      </c>
      <c r="Q18" s="24">
        <v>126.5</v>
      </c>
      <c r="R18" s="24">
        <v>128</v>
      </c>
      <c r="S18" s="24">
        <v>129.5</v>
      </c>
      <c r="T18" s="24">
        <v>131</v>
      </c>
      <c r="U18" s="24">
        <v>132.5</v>
      </c>
      <c r="V18" s="24">
        <v>134</v>
      </c>
      <c r="W18" s="24">
        <v>135.5</v>
      </c>
      <c r="X18" s="24">
        <v>137</v>
      </c>
      <c r="Y18" s="166">
        <v>138.5</v>
      </c>
      <c r="Z18" s="166">
        <v>140</v>
      </c>
      <c r="AA18" s="166">
        <v>141.5</v>
      </c>
      <c r="AB18" s="166">
        <v>143</v>
      </c>
      <c r="AC18" s="166">
        <v>144.5</v>
      </c>
      <c r="AD18" s="166">
        <v>146</v>
      </c>
      <c r="AE18" s="166">
        <v>147.5</v>
      </c>
      <c r="AF18" s="166">
        <v>149</v>
      </c>
      <c r="AG18" s="25">
        <v>44.6</v>
      </c>
      <c r="AH18" s="49">
        <v>14.1</v>
      </c>
      <c r="AJ18">
        <f t="shared" si="0"/>
        <v>28.2</v>
      </c>
    </row>
    <row r="19" spans="1:36" ht="12.75">
      <c r="A19" s="22" t="s">
        <v>19</v>
      </c>
      <c r="B19" s="23">
        <f t="shared" si="1"/>
        <v>9624</v>
      </c>
      <c r="C19" s="23" t="b">
        <f>IF($B$32&gt;B18,+IF($B$32&lt;'rekenblad 1'!B19,1,0))</f>
        <v>0</v>
      </c>
      <c r="D19" s="166">
        <v>109</v>
      </c>
      <c r="E19" s="166">
        <v>110.5</v>
      </c>
      <c r="F19" s="166">
        <v>112</v>
      </c>
      <c r="G19" s="166">
        <v>113.5</v>
      </c>
      <c r="H19" s="24">
        <v>115</v>
      </c>
      <c r="I19" s="24">
        <v>116.5</v>
      </c>
      <c r="J19" s="24">
        <v>118</v>
      </c>
      <c r="K19" s="24">
        <v>119.5</v>
      </c>
      <c r="L19" s="24">
        <v>121</v>
      </c>
      <c r="M19" s="24">
        <v>122.5</v>
      </c>
      <c r="N19" s="24">
        <v>124</v>
      </c>
      <c r="O19" s="24">
        <v>125.5</v>
      </c>
      <c r="P19" s="24">
        <v>127</v>
      </c>
      <c r="Q19" s="24">
        <v>128.5</v>
      </c>
      <c r="R19" s="24">
        <v>130</v>
      </c>
      <c r="S19" s="24">
        <v>131.5</v>
      </c>
      <c r="T19" s="24">
        <v>133</v>
      </c>
      <c r="U19" s="24">
        <v>134.5</v>
      </c>
      <c r="V19" s="24">
        <v>136</v>
      </c>
      <c r="W19" s="24">
        <v>137.5</v>
      </c>
      <c r="X19" s="24">
        <v>139</v>
      </c>
      <c r="Y19" s="166">
        <v>140.5</v>
      </c>
      <c r="Z19" s="166">
        <v>142</v>
      </c>
      <c r="AA19" s="166">
        <v>143.5</v>
      </c>
      <c r="AB19" s="166">
        <v>145</v>
      </c>
      <c r="AC19" s="166">
        <v>146.5</v>
      </c>
      <c r="AD19" s="166">
        <v>148</v>
      </c>
      <c r="AE19" s="166">
        <v>149.5</v>
      </c>
      <c r="AF19" s="166">
        <v>151</v>
      </c>
      <c r="AG19" s="25">
        <v>45.3</v>
      </c>
      <c r="AH19" s="49">
        <v>14.4</v>
      </c>
      <c r="AJ19">
        <f t="shared" si="0"/>
        <v>28.8</v>
      </c>
    </row>
    <row r="20" spans="1:36" ht="12.75">
      <c r="A20" s="22" t="s">
        <v>20</v>
      </c>
      <c r="B20" s="23">
        <f t="shared" si="1"/>
        <v>9874</v>
      </c>
      <c r="C20" s="23" t="b">
        <f>IF($B$32&gt;B19,+IF($B$32&lt;'rekenblad 1'!B20,1,0))</f>
        <v>0</v>
      </c>
      <c r="D20" s="166">
        <v>111</v>
      </c>
      <c r="E20" s="166">
        <v>112.5</v>
      </c>
      <c r="F20" s="166">
        <v>114</v>
      </c>
      <c r="G20" s="166">
        <v>115.5</v>
      </c>
      <c r="H20" s="24">
        <v>117</v>
      </c>
      <c r="I20" s="24">
        <v>118.5</v>
      </c>
      <c r="J20" s="24">
        <v>120</v>
      </c>
      <c r="K20" s="24">
        <v>121.5</v>
      </c>
      <c r="L20" s="24">
        <v>123</v>
      </c>
      <c r="M20" s="24">
        <v>124.5</v>
      </c>
      <c r="N20" s="24">
        <v>126</v>
      </c>
      <c r="O20" s="24">
        <v>127.5</v>
      </c>
      <c r="P20" s="24">
        <v>129</v>
      </c>
      <c r="Q20" s="24">
        <v>130.5</v>
      </c>
      <c r="R20" s="24">
        <v>132</v>
      </c>
      <c r="S20" s="24">
        <v>133.5</v>
      </c>
      <c r="T20" s="24">
        <v>135</v>
      </c>
      <c r="U20" s="24">
        <v>136.5</v>
      </c>
      <c r="V20" s="24">
        <v>138</v>
      </c>
      <c r="W20" s="24">
        <v>139.5</v>
      </c>
      <c r="X20" s="24">
        <v>141</v>
      </c>
      <c r="Y20" s="166">
        <v>142.5</v>
      </c>
      <c r="Z20" s="166">
        <v>144</v>
      </c>
      <c r="AA20" s="166">
        <v>145.5</v>
      </c>
      <c r="AB20" s="166">
        <v>147</v>
      </c>
      <c r="AC20" s="166">
        <v>148.5</v>
      </c>
      <c r="AD20" s="166">
        <v>150</v>
      </c>
      <c r="AE20" s="166">
        <v>151.5</v>
      </c>
      <c r="AF20" s="166">
        <v>153</v>
      </c>
      <c r="AG20" s="25">
        <v>46</v>
      </c>
      <c r="AH20" s="49">
        <v>14.6</v>
      </c>
      <c r="AJ20">
        <f t="shared" si="0"/>
        <v>29.2</v>
      </c>
    </row>
    <row r="21" spans="1:36" ht="12.75">
      <c r="A21" s="22" t="s">
        <v>21</v>
      </c>
      <c r="B21" s="23">
        <f t="shared" si="1"/>
        <v>10124</v>
      </c>
      <c r="C21" s="23" t="b">
        <f>IF($B$32&gt;B20,+IF($B$32&lt;'rekenblad 1'!B21,1,0))</f>
        <v>0</v>
      </c>
      <c r="D21" s="166">
        <v>113</v>
      </c>
      <c r="E21" s="166">
        <v>114.5</v>
      </c>
      <c r="F21" s="166">
        <v>116</v>
      </c>
      <c r="G21" s="166">
        <v>117.5</v>
      </c>
      <c r="H21" s="24">
        <v>119</v>
      </c>
      <c r="I21" s="24">
        <v>120.5</v>
      </c>
      <c r="J21" s="24">
        <v>122</v>
      </c>
      <c r="K21" s="24">
        <v>123.5</v>
      </c>
      <c r="L21" s="24">
        <v>125</v>
      </c>
      <c r="M21" s="24">
        <v>126.5</v>
      </c>
      <c r="N21" s="24">
        <v>128</v>
      </c>
      <c r="O21" s="24">
        <v>129.5</v>
      </c>
      <c r="P21" s="24">
        <v>131</v>
      </c>
      <c r="Q21" s="24">
        <v>132.5</v>
      </c>
      <c r="R21" s="24">
        <v>134</v>
      </c>
      <c r="S21" s="24">
        <v>135.5</v>
      </c>
      <c r="T21" s="24">
        <v>137</v>
      </c>
      <c r="U21" s="24">
        <v>138.5</v>
      </c>
      <c r="V21" s="24">
        <v>140</v>
      </c>
      <c r="W21" s="24">
        <v>141.5</v>
      </c>
      <c r="X21" s="24">
        <v>143</v>
      </c>
      <c r="Y21" s="166">
        <v>144.5</v>
      </c>
      <c r="Z21" s="166">
        <v>146</v>
      </c>
      <c r="AA21" s="166">
        <v>147.5</v>
      </c>
      <c r="AB21" s="166">
        <v>149</v>
      </c>
      <c r="AC21" s="166">
        <v>150.5</v>
      </c>
      <c r="AD21" s="166">
        <v>152</v>
      </c>
      <c r="AE21" s="166">
        <v>153.5</v>
      </c>
      <c r="AF21" s="166">
        <v>155</v>
      </c>
      <c r="AG21" s="25">
        <v>46.7</v>
      </c>
      <c r="AH21" s="49">
        <v>14.8</v>
      </c>
      <c r="AJ21">
        <f t="shared" si="0"/>
        <v>29.6</v>
      </c>
    </row>
    <row r="22" spans="1:36" ht="12.75">
      <c r="A22" s="22" t="s">
        <v>22</v>
      </c>
      <c r="B22" s="23">
        <f t="shared" si="1"/>
        <v>10374</v>
      </c>
      <c r="C22" s="23" t="b">
        <f>IF($B$32&gt;B21,+IF($B$32&lt;'rekenblad 1'!B22,1,0))</f>
        <v>0</v>
      </c>
      <c r="D22" s="166">
        <v>115</v>
      </c>
      <c r="E22" s="166">
        <v>116.5</v>
      </c>
      <c r="F22" s="166">
        <v>118</v>
      </c>
      <c r="G22" s="166">
        <v>119.5</v>
      </c>
      <c r="H22" s="24">
        <v>121</v>
      </c>
      <c r="I22" s="24">
        <v>122.5</v>
      </c>
      <c r="J22" s="24">
        <v>124</v>
      </c>
      <c r="K22" s="24">
        <v>125.5</v>
      </c>
      <c r="L22" s="24">
        <v>127</v>
      </c>
      <c r="M22" s="24">
        <v>128.5</v>
      </c>
      <c r="N22" s="24">
        <v>130</v>
      </c>
      <c r="O22" s="24">
        <v>131.5</v>
      </c>
      <c r="P22" s="24">
        <v>133</v>
      </c>
      <c r="Q22" s="24">
        <v>134.5</v>
      </c>
      <c r="R22" s="24">
        <v>136</v>
      </c>
      <c r="S22" s="24">
        <v>137.5</v>
      </c>
      <c r="T22" s="24">
        <v>139</v>
      </c>
      <c r="U22" s="24">
        <v>140.5</v>
      </c>
      <c r="V22" s="24">
        <v>142</v>
      </c>
      <c r="W22" s="24">
        <v>143.5</v>
      </c>
      <c r="X22" s="24">
        <v>145</v>
      </c>
      <c r="Y22" s="166">
        <v>146.5</v>
      </c>
      <c r="Z22" s="166">
        <v>148</v>
      </c>
      <c r="AA22" s="166">
        <v>149.5</v>
      </c>
      <c r="AB22" s="166">
        <v>151</v>
      </c>
      <c r="AC22" s="166">
        <v>152.5</v>
      </c>
      <c r="AD22" s="166">
        <v>154</v>
      </c>
      <c r="AE22" s="166">
        <v>155.5</v>
      </c>
      <c r="AF22" s="166">
        <v>157</v>
      </c>
      <c r="AG22" s="25">
        <v>47.4</v>
      </c>
      <c r="AH22" s="49">
        <v>15</v>
      </c>
      <c r="AJ22">
        <f t="shared" si="0"/>
        <v>30</v>
      </c>
    </row>
    <row r="23" spans="1:36" ht="12.75">
      <c r="A23" s="22" t="s">
        <v>23</v>
      </c>
      <c r="B23" s="23">
        <f t="shared" si="1"/>
        <v>10624</v>
      </c>
      <c r="C23" s="23" t="b">
        <f>IF($B$32&gt;B22,+IF($B$32&lt;'rekenblad 1'!B23,1,0))</f>
        <v>0</v>
      </c>
      <c r="D23" s="166">
        <v>117</v>
      </c>
      <c r="E23" s="166">
        <v>118.5</v>
      </c>
      <c r="F23" s="166">
        <v>120</v>
      </c>
      <c r="G23" s="166">
        <v>121.5</v>
      </c>
      <c r="H23" s="24">
        <v>123</v>
      </c>
      <c r="I23" s="24">
        <v>124.5</v>
      </c>
      <c r="J23" s="24">
        <v>126</v>
      </c>
      <c r="K23" s="24">
        <v>127.5</v>
      </c>
      <c r="L23" s="24">
        <v>129</v>
      </c>
      <c r="M23" s="24">
        <v>130.5</v>
      </c>
      <c r="N23" s="24">
        <v>132</v>
      </c>
      <c r="O23" s="24">
        <v>133.5</v>
      </c>
      <c r="P23" s="24">
        <v>135</v>
      </c>
      <c r="Q23" s="24">
        <v>136.5</v>
      </c>
      <c r="R23" s="24">
        <v>138</v>
      </c>
      <c r="S23" s="24">
        <v>139.5</v>
      </c>
      <c r="T23" s="24">
        <v>141</v>
      </c>
      <c r="U23" s="24">
        <v>142.5</v>
      </c>
      <c r="V23" s="24">
        <v>144</v>
      </c>
      <c r="W23" s="24">
        <v>145.5</v>
      </c>
      <c r="X23" s="24">
        <v>147</v>
      </c>
      <c r="Y23" s="166">
        <v>148.5</v>
      </c>
      <c r="Z23" s="166">
        <v>150</v>
      </c>
      <c r="AA23" s="166">
        <v>151.5</v>
      </c>
      <c r="AB23" s="166">
        <v>153</v>
      </c>
      <c r="AC23" s="166">
        <v>154.5</v>
      </c>
      <c r="AD23" s="166">
        <v>156</v>
      </c>
      <c r="AE23" s="166">
        <v>157.5</v>
      </c>
      <c r="AF23" s="166">
        <v>159</v>
      </c>
      <c r="AG23" s="25">
        <v>48.1</v>
      </c>
      <c r="AH23" s="49">
        <v>15.2</v>
      </c>
      <c r="AJ23">
        <f t="shared" si="0"/>
        <v>30.4</v>
      </c>
    </row>
    <row r="24" spans="1:36" ht="13.5" thickBot="1">
      <c r="A24" s="21" t="s">
        <v>24</v>
      </c>
      <c r="B24" s="23"/>
      <c r="C24" s="23" t="b">
        <f>IF($B$32&gt;B23,+IF($B$32&lt;'rekenblad 1'!B24,1,0))</f>
        <v>0</v>
      </c>
      <c r="D24" s="166">
        <v>120.5</v>
      </c>
      <c r="E24" s="166">
        <v>122</v>
      </c>
      <c r="F24" s="166">
        <v>123.5</v>
      </c>
      <c r="G24" s="166">
        <v>125</v>
      </c>
      <c r="H24" s="24">
        <v>126.5</v>
      </c>
      <c r="I24" s="24">
        <v>128.5</v>
      </c>
      <c r="J24" s="24">
        <v>130</v>
      </c>
      <c r="K24" s="24">
        <v>131.5</v>
      </c>
      <c r="L24" s="24">
        <v>133</v>
      </c>
      <c r="M24" s="24">
        <v>134.5</v>
      </c>
      <c r="N24" s="24">
        <v>136</v>
      </c>
      <c r="O24" s="24">
        <v>137.5</v>
      </c>
      <c r="P24" s="24">
        <v>139</v>
      </c>
      <c r="Q24" s="24">
        <v>140.5</v>
      </c>
      <c r="R24" s="24">
        <v>142</v>
      </c>
      <c r="S24" s="24">
        <v>143.5</v>
      </c>
      <c r="T24" s="24">
        <v>145</v>
      </c>
      <c r="U24" s="24">
        <v>146.5</v>
      </c>
      <c r="V24" s="24">
        <v>148</v>
      </c>
      <c r="W24" s="24">
        <v>149.5</v>
      </c>
      <c r="X24" s="24">
        <v>151</v>
      </c>
      <c r="Y24" s="166">
        <v>152.5</v>
      </c>
      <c r="Z24" s="166">
        <v>154</v>
      </c>
      <c r="AA24" s="166">
        <v>155.5</v>
      </c>
      <c r="AB24" s="166">
        <v>157</v>
      </c>
      <c r="AC24" s="166">
        <v>158.5</v>
      </c>
      <c r="AD24" s="166">
        <v>160</v>
      </c>
      <c r="AE24" s="166">
        <v>161.5</v>
      </c>
      <c r="AF24" s="166">
        <v>163</v>
      </c>
      <c r="AG24" s="25">
        <v>49.4</v>
      </c>
      <c r="AH24" s="49">
        <v>15.5</v>
      </c>
      <c r="AJ24">
        <f t="shared" si="0"/>
        <v>31</v>
      </c>
    </row>
    <row r="25" spans="1:33" ht="12.75">
      <c r="A25" s="13"/>
      <c r="B25" s="7"/>
      <c r="C25" s="26"/>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8"/>
    </row>
    <row r="26" spans="1:36" ht="12.75">
      <c r="A26" s="13"/>
      <c r="B26" s="7" t="s">
        <v>28</v>
      </c>
      <c r="C26" s="7"/>
      <c r="D26" s="7" t="s">
        <v>29</v>
      </c>
      <c r="E26" s="7" t="s">
        <v>101</v>
      </c>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8" t="s">
        <v>32</v>
      </c>
      <c r="AH26">
        <v>7.7</v>
      </c>
      <c r="AJ26">
        <f t="shared" si="0"/>
        <v>15.4</v>
      </c>
    </row>
    <row r="27" spans="1:36" ht="12.75">
      <c r="A27" s="27" t="s">
        <v>32</v>
      </c>
      <c r="B27" s="7">
        <v>66.7</v>
      </c>
      <c r="C27" s="7"/>
      <c r="D27" s="2">
        <v>22.3</v>
      </c>
      <c r="E27" s="62">
        <v>15.4</v>
      </c>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8" t="s">
        <v>31</v>
      </c>
      <c r="AH27">
        <v>3.6</v>
      </c>
      <c r="AJ27">
        <f t="shared" si="0"/>
        <v>7.2</v>
      </c>
    </row>
    <row r="28" spans="1:33" ht="12.75">
      <c r="A28" s="27" t="s">
        <v>31</v>
      </c>
      <c r="B28" s="7">
        <v>35.1</v>
      </c>
      <c r="C28" s="7"/>
      <c r="D28" s="2">
        <v>9.7</v>
      </c>
      <c r="E28" s="62">
        <v>7.2</v>
      </c>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8"/>
    </row>
    <row r="29" spans="1:33" ht="12.75">
      <c r="A29" s="13"/>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8"/>
    </row>
    <row r="30" spans="1:33" ht="12.75">
      <c r="A30" s="13" t="s">
        <v>30</v>
      </c>
      <c r="B30" s="7">
        <f>VLOOKUP(1,C3:AG24,B33-11,TRUE)</f>
        <v>112.5</v>
      </c>
      <c r="C30" s="7"/>
      <c r="D30" s="7">
        <f>VLOOKUP(1,C3:AG24,31,TRUE)</f>
        <v>41.9</v>
      </c>
      <c r="E30" s="7">
        <f>VLOOKUP(1,C3:AJ24,34,TRUE)</f>
        <v>26.6</v>
      </c>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8"/>
    </row>
    <row r="31" spans="1:33" ht="12.75">
      <c r="A31" s="13"/>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8"/>
    </row>
    <row r="32" spans="1:33" ht="12.75">
      <c r="A32" s="13" t="s">
        <v>34</v>
      </c>
      <c r="B32" s="80">
        <f>Invoer!B12</f>
        <v>8253</v>
      </c>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8"/>
    </row>
    <row r="33" spans="1:33" ht="12.75">
      <c r="A33" s="28" t="s">
        <v>35</v>
      </c>
      <c r="B33" s="81">
        <f>Invoer!B13</f>
        <v>22</v>
      </c>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8"/>
    </row>
    <row r="36" spans="1:11" ht="12.75">
      <c r="A36" s="3" t="s">
        <v>29</v>
      </c>
      <c r="B36" s="29" t="s">
        <v>36</v>
      </c>
      <c r="C36" s="29" t="s">
        <v>37</v>
      </c>
      <c r="D36" s="29" t="s">
        <v>38</v>
      </c>
      <c r="E36" s="4"/>
      <c r="F36" s="5"/>
      <c r="H36" s="50" t="s">
        <v>87</v>
      </c>
      <c r="I36" s="4"/>
      <c r="J36" s="4"/>
      <c r="K36" s="51">
        <f>Invoer!F10/Invoer!B28</f>
        <v>1326.3305322128851</v>
      </c>
    </row>
    <row r="37" spans="1:11" ht="12.75">
      <c r="A37" s="6" t="s">
        <v>39</v>
      </c>
      <c r="B37" s="7">
        <v>1</v>
      </c>
      <c r="C37" s="7">
        <v>2</v>
      </c>
      <c r="D37" s="7">
        <v>3</v>
      </c>
      <c r="E37" s="7"/>
      <c r="F37" s="8"/>
      <c r="H37" s="13" t="s">
        <v>88</v>
      </c>
      <c r="I37" s="7"/>
      <c r="J37" s="7"/>
      <c r="K37" s="52">
        <f>Invoer!F11/Invoer!B27</f>
        <v>1464.6258503401361</v>
      </c>
    </row>
    <row r="38" spans="1:11" ht="12.75">
      <c r="A38" s="6">
        <v>2009</v>
      </c>
      <c r="B38" s="7">
        <v>100</v>
      </c>
      <c r="C38" s="7">
        <v>100</v>
      </c>
      <c r="D38" s="7">
        <v>100</v>
      </c>
      <c r="E38" s="7"/>
      <c r="F38" s="8"/>
      <c r="H38" s="13" t="s">
        <v>89</v>
      </c>
      <c r="I38" s="7"/>
      <c r="J38" s="7"/>
      <c r="K38" s="52">
        <f>IF(K36&lt;K37,K37,K36)</f>
        <v>1464.6258503401361</v>
      </c>
    </row>
    <row r="39" spans="1:11" ht="12.75">
      <c r="A39" s="6">
        <v>2010</v>
      </c>
      <c r="B39" s="7">
        <v>100</v>
      </c>
      <c r="C39" s="7">
        <v>95</v>
      </c>
      <c r="D39" s="7">
        <v>90</v>
      </c>
      <c r="E39" s="7"/>
      <c r="F39" s="8"/>
      <c r="H39" s="13" t="s">
        <v>90</v>
      </c>
      <c r="I39" s="7"/>
      <c r="J39" s="7"/>
      <c r="K39" s="53" t="str">
        <f>IF(K36&lt;K37,"Fosfaat","Stikstof")</f>
        <v>Fosfaat</v>
      </c>
    </row>
    <row r="40" spans="1:11" ht="12.75">
      <c r="A40" s="6">
        <v>2011</v>
      </c>
      <c r="B40" s="7">
        <v>100</v>
      </c>
      <c r="C40" s="7">
        <v>95</v>
      </c>
      <c r="D40" s="7">
        <v>90</v>
      </c>
      <c r="E40" s="7"/>
      <c r="F40" s="8"/>
      <c r="H40" s="28" t="s">
        <v>73</v>
      </c>
      <c r="I40" s="17"/>
      <c r="J40" s="17"/>
      <c r="K40" s="54" t="str">
        <f>IF(AND(K36&lt;0,+K37&lt;0),"n.v.t.",K39)</f>
        <v>Fosfaat</v>
      </c>
    </row>
    <row r="41" spans="1:6" ht="12.75">
      <c r="A41" s="6">
        <v>2012</v>
      </c>
      <c r="B41" s="7">
        <v>100</v>
      </c>
      <c r="C41" s="7">
        <v>95</v>
      </c>
      <c r="D41" s="7">
        <v>85</v>
      </c>
      <c r="E41" s="7"/>
      <c r="F41" s="8"/>
    </row>
    <row r="42" spans="1:6" ht="12.75">
      <c r="A42" s="6">
        <v>2013</v>
      </c>
      <c r="B42" s="7">
        <v>100</v>
      </c>
      <c r="C42" s="7">
        <v>95</v>
      </c>
      <c r="D42" s="7">
        <v>85</v>
      </c>
      <c r="E42" s="7"/>
      <c r="F42" s="8"/>
    </row>
    <row r="43" spans="1:6" ht="12.75">
      <c r="A43" s="6">
        <v>2014</v>
      </c>
      <c r="B43" s="7">
        <v>100</v>
      </c>
      <c r="C43" s="7">
        <v>95</v>
      </c>
      <c r="D43" s="7">
        <v>85</v>
      </c>
      <c r="E43" s="7"/>
      <c r="F43" s="8"/>
    </row>
    <row r="44" spans="1:6" ht="12.75">
      <c r="A44" s="6">
        <v>2015</v>
      </c>
      <c r="B44" s="7">
        <v>100</v>
      </c>
      <c r="C44" s="7">
        <v>90</v>
      </c>
      <c r="D44" s="7">
        <v>80</v>
      </c>
      <c r="E44" s="7"/>
      <c r="F44" s="8"/>
    </row>
    <row r="45" spans="1:6" ht="12.75">
      <c r="A45" s="6"/>
      <c r="B45" s="7"/>
      <c r="C45" s="7"/>
      <c r="D45" s="7"/>
      <c r="E45" s="7"/>
      <c r="F45" s="8"/>
    </row>
    <row r="46" spans="1:6" ht="12.75">
      <c r="A46" s="6" t="s">
        <v>40</v>
      </c>
      <c r="B46" s="7">
        <v>1</v>
      </c>
      <c r="C46" s="7">
        <v>2</v>
      </c>
      <c r="D46" s="7">
        <v>3</v>
      </c>
      <c r="E46" s="7"/>
      <c r="F46" s="8"/>
    </row>
    <row r="47" spans="1:6" ht="12.75">
      <c r="A47" s="6">
        <v>2009</v>
      </c>
      <c r="B47" s="7">
        <v>85</v>
      </c>
      <c r="C47" s="7">
        <v>85</v>
      </c>
      <c r="D47" s="7">
        <v>85</v>
      </c>
      <c r="E47" s="7"/>
      <c r="F47" s="8"/>
    </row>
    <row r="48" spans="1:6" ht="12.75">
      <c r="A48" s="6">
        <v>2010</v>
      </c>
      <c r="B48" s="7">
        <v>85</v>
      </c>
      <c r="C48" s="7">
        <v>80</v>
      </c>
      <c r="D48" s="7">
        <v>75</v>
      </c>
      <c r="E48" s="7"/>
      <c r="F48" s="8"/>
    </row>
    <row r="49" spans="1:6" ht="12.75">
      <c r="A49" s="6">
        <v>2011</v>
      </c>
      <c r="B49" s="7">
        <v>85</v>
      </c>
      <c r="C49" s="7">
        <v>75</v>
      </c>
      <c r="D49" s="7">
        <v>70</v>
      </c>
      <c r="E49" s="7"/>
      <c r="F49" s="8"/>
    </row>
    <row r="50" spans="1:6" ht="12.75">
      <c r="A50" s="6">
        <v>2012</v>
      </c>
      <c r="B50" s="7">
        <v>85</v>
      </c>
      <c r="C50" s="7">
        <v>70</v>
      </c>
      <c r="D50" s="7">
        <v>65</v>
      </c>
      <c r="E50" s="7"/>
      <c r="F50" s="8"/>
    </row>
    <row r="51" spans="1:6" ht="12.75">
      <c r="A51" s="6">
        <v>2013</v>
      </c>
      <c r="B51" s="7">
        <v>85</v>
      </c>
      <c r="C51" s="7">
        <v>65</v>
      </c>
      <c r="D51" s="7">
        <v>55</v>
      </c>
      <c r="E51" s="7"/>
      <c r="F51" s="8"/>
    </row>
    <row r="52" spans="1:6" ht="12.75">
      <c r="A52" s="6">
        <v>2014</v>
      </c>
      <c r="B52" s="7">
        <v>80</v>
      </c>
      <c r="C52" s="7">
        <v>65</v>
      </c>
      <c r="D52" s="7">
        <v>55</v>
      </c>
      <c r="E52" s="7"/>
      <c r="F52" s="8"/>
    </row>
    <row r="53" spans="1:6" ht="12.75">
      <c r="A53" s="6">
        <v>2015</v>
      </c>
      <c r="B53" s="7">
        <v>75</v>
      </c>
      <c r="C53" s="7">
        <v>60</v>
      </c>
      <c r="D53" s="7">
        <v>50</v>
      </c>
      <c r="E53" s="7"/>
      <c r="F53" s="8"/>
    </row>
    <row r="54" spans="1:6" ht="12.75">
      <c r="A54" s="6"/>
      <c r="B54" s="7"/>
      <c r="C54" s="7"/>
      <c r="D54" s="7"/>
      <c r="E54" s="7"/>
      <c r="F54" s="8"/>
    </row>
    <row r="55" spans="1:6" ht="12.75">
      <c r="A55" s="9" t="s">
        <v>41</v>
      </c>
      <c r="B55" s="82">
        <f>Invoer!B8</f>
        <v>2009</v>
      </c>
      <c r="C55" s="10"/>
      <c r="D55" s="10"/>
      <c r="E55" s="7"/>
      <c r="F55" s="8"/>
    </row>
    <row r="56" spans="1:6" ht="12.75">
      <c r="A56" s="9" t="s">
        <v>39</v>
      </c>
      <c r="B56" s="10">
        <f>VLOOKUP(B55,A38:B44,2)</f>
        <v>100</v>
      </c>
      <c r="C56" s="10">
        <f>VLOOKUP(B55,A38:C44,3)</f>
        <v>100</v>
      </c>
      <c r="D56" s="10">
        <f>VLOOKUP(B55,A38:D44,4)</f>
        <v>100</v>
      </c>
      <c r="E56" s="7"/>
      <c r="F56" s="8"/>
    </row>
    <row r="57" spans="1:6" ht="12.75">
      <c r="A57" s="9" t="s">
        <v>42</v>
      </c>
      <c r="B57" s="10">
        <f>VLOOKUP(B55,A47:B53,2)</f>
        <v>85</v>
      </c>
      <c r="C57" s="10">
        <f>VLOOKUP(B55,A47:C53,3)</f>
        <v>85</v>
      </c>
      <c r="D57" s="10">
        <f>VLOOKUP(B55,A47:D53,4)</f>
        <v>85</v>
      </c>
      <c r="E57" s="7"/>
      <c r="F57" s="8"/>
    </row>
    <row r="58" spans="1:6" ht="12.75">
      <c r="A58" s="6" t="s">
        <v>43</v>
      </c>
      <c r="B58" s="7"/>
      <c r="C58" s="7"/>
      <c r="D58" s="7"/>
      <c r="E58" s="7"/>
      <c r="F58" s="8"/>
    </row>
    <row r="59" spans="1:6" ht="12.75">
      <c r="A59" s="6" t="s">
        <v>44</v>
      </c>
      <c r="B59" s="7"/>
      <c r="C59" s="11">
        <f>IF(B69&gt;0,((B56*B66+C56*B67+D56*B68)/B69),0)</f>
        <v>100</v>
      </c>
      <c r="D59" s="7"/>
      <c r="E59" s="7"/>
      <c r="F59" s="8"/>
    </row>
    <row r="60" spans="1:6" ht="12.75">
      <c r="A60" s="6" t="s">
        <v>45</v>
      </c>
      <c r="B60" s="7"/>
      <c r="C60" s="11">
        <f>IF(B75&gt;0,((B57*B72+C57*B73+D57*B74)/B75),0)</f>
        <v>85</v>
      </c>
      <c r="D60" s="7"/>
      <c r="E60" s="7"/>
      <c r="F60" s="8"/>
    </row>
    <row r="61" spans="1:6" ht="12.75">
      <c r="A61" s="6" t="s">
        <v>46</v>
      </c>
      <c r="B61" s="7"/>
      <c r="C61" s="7"/>
      <c r="D61" s="7"/>
      <c r="E61" s="7" t="s">
        <v>53</v>
      </c>
      <c r="F61" s="8">
        <v>250</v>
      </c>
    </row>
    <row r="62" spans="1:6" ht="12.75">
      <c r="A62" s="6" t="s">
        <v>47</v>
      </c>
      <c r="B62" s="7"/>
      <c r="C62" s="12">
        <f>IF(C59&gt;0,(B69/(B69+B75)),0)</f>
        <v>0.8087954110898662</v>
      </c>
      <c r="D62" s="7"/>
      <c r="E62" s="7" t="s">
        <v>54</v>
      </c>
      <c r="F62" s="8">
        <v>170</v>
      </c>
    </row>
    <row r="63" spans="1:6" ht="12.75">
      <c r="A63" s="6" t="s">
        <v>48</v>
      </c>
      <c r="B63" s="7"/>
      <c r="C63" s="7">
        <f>IF(C62&gt;=0.7,F61,F62)</f>
        <v>250</v>
      </c>
      <c r="D63" s="7"/>
      <c r="E63" s="7"/>
      <c r="F63" s="8"/>
    </row>
    <row r="64" spans="1:6" ht="12.75">
      <c r="A64" s="13"/>
      <c r="B64" s="7"/>
      <c r="C64" s="7"/>
      <c r="D64" s="7"/>
      <c r="E64" s="7"/>
      <c r="F64" s="8"/>
    </row>
    <row r="65" spans="1:6" ht="12.75">
      <c r="A65" s="6" t="s">
        <v>49</v>
      </c>
      <c r="B65" s="7"/>
      <c r="C65" s="7"/>
      <c r="D65" s="7"/>
      <c r="E65" s="7"/>
      <c r="F65" s="8"/>
    </row>
    <row r="66" spans="1:6" ht="12.75">
      <c r="A66" s="6" t="s">
        <v>36</v>
      </c>
      <c r="B66" s="80">
        <f>Invoer!B14</f>
        <v>0</v>
      </c>
      <c r="C66" s="7"/>
      <c r="D66" s="7"/>
      <c r="E66" s="7"/>
      <c r="F66" s="8"/>
    </row>
    <row r="67" spans="1:6" ht="12.75">
      <c r="A67" s="6" t="s">
        <v>50</v>
      </c>
      <c r="B67" s="80">
        <f>Invoer!B15</f>
        <v>42.3</v>
      </c>
      <c r="C67" s="7"/>
      <c r="D67" s="7"/>
      <c r="E67" s="7"/>
      <c r="F67" s="8"/>
    </row>
    <row r="68" spans="1:6" ht="12.75">
      <c r="A68" s="6" t="s">
        <v>38</v>
      </c>
      <c r="B68" s="80">
        <f>Invoer!B16</f>
        <v>0</v>
      </c>
      <c r="C68" s="7"/>
      <c r="D68" s="7"/>
      <c r="E68" s="7"/>
      <c r="F68" s="8"/>
    </row>
    <row r="69" spans="1:6" ht="12.75">
      <c r="A69" s="6" t="s">
        <v>51</v>
      </c>
      <c r="B69" s="14">
        <f>SUM(B66:B68)</f>
        <v>42.3</v>
      </c>
      <c r="C69" s="7"/>
      <c r="D69" s="7"/>
      <c r="E69" s="7"/>
      <c r="F69" s="8"/>
    </row>
    <row r="70" spans="1:6" ht="12.75">
      <c r="A70" s="13"/>
      <c r="B70" s="7"/>
      <c r="C70" s="7"/>
      <c r="D70" s="7"/>
      <c r="E70" s="7"/>
      <c r="F70" s="8"/>
    </row>
    <row r="71" spans="1:6" ht="12.75">
      <c r="A71" s="6" t="s">
        <v>52</v>
      </c>
      <c r="B71" s="7"/>
      <c r="C71" s="7"/>
      <c r="D71" s="7"/>
      <c r="E71" s="7"/>
      <c r="F71" s="8"/>
    </row>
    <row r="72" spans="1:6" ht="12.75">
      <c r="A72" s="6" t="s">
        <v>36</v>
      </c>
      <c r="B72" s="80">
        <f>Invoer!B18</f>
        <v>0</v>
      </c>
      <c r="C72" s="7"/>
      <c r="D72" s="7"/>
      <c r="E72" s="7"/>
      <c r="F72" s="8"/>
    </row>
    <row r="73" spans="1:6" ht="12.75">
      <c r="A73" s="6" t="s">
        <v>50</v>
      </c>
      <c r="B73" s="80">
        <f>Invoer!B19</f>
        <v>10</v>
      </c>
      <c r="C73" s="7"/>
      <c r="D73" s="7"/>
      <c r="E73" s="7"/>
      <c r="F73" s="8"/>
    </row>
    <row r="74" spans="1:6" ht="12.75">
      <c r="A74" s="6" t="s">
        <v>38</v>
      </c>
      <c r="B74" s="80">
        <f>Invoer!B20</f>
        <v>0</v>
      </c>
      <c r="C74" s="7"/>
      <c r="D74" s="7"/>
      <c r="E74" s="7"/>
      <c r="F74" s="8"/>
    </row>
    <row r="75" spans="1:6" ht="12.75">
      <c r="A75" s="15" t="s">
        <v>51</v>
      </c>
      <c r="B75" s="16">
        <f>SUM(B72:B74)</f>
        <v>10</v>
      </c>
      <c r="C75" s="17"/>
      <c r="D75" s="17"/>
      <c r="E75" s="17"/>
      <c r="F75" s="18"/>
    </row>
  </sheetData>
  <sheetProtection sheet="1" objects="1" scenarios="1"/>
  <mergeCells count="3">
    <mergeCell ref="D1:L1"/>
    <mergeCell ref="M1:T1"/>
    <mergeCell ref="B1:C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E46"/>
  <sheetViews>
    <sheetView zoomScalePageLayoutView="0" workbookViewId="0" topLeftCell="A1">
      <selection activeCell="D30" sqref="D30"/>
    </sheetView>
  </sheetViews>
  <sheetFormatPr defaultColWidth="9.140625" defaultRowHeight="12.75"/>
  <cols>
    <col min="1" max="1" width="6.00390625" style="0" customWidth="1"/>
    <col min="2" max="2" width="33.00390625" style="0" customWidth="1"/>
    <col min="3" max="3" width="12.57421875" style="0" customWidth="1"/>
    <col min="4" max="4" width="12.8515625" style="0" customWidth="1"/>
    <col min="5" max="5" width="22.00390625" style="0" customWidth="1"/>
    <col min="6" max="6" width="20.57421875" style="0" customWidth="1"/>
    <col min="7" max="7" width="12.8515625" style="0" customWidth="1"/>
    <col min="8" max="8" width="13.421875" style="0" customWidth="1"/>
    <col min="9" max="9" width="20.421875" style="0" customWidth="1"/>
  </cols>
  <sheetData>
    <row r="1" spans="2:3" ht="12.75">
      <c r="B1" s="63" t="s">
        <v>110</v>
      </c>
      <c r="C1" s="63"/>
    </row>
    <row r="2" spans="2:3" ht="12.75">
      <c r="B2" s="63" t="s">
        <v>111</v>
      </c>
      <c r="C2" s="63"/>
    </row>
    <row r="3" spans="2:3" ht="12.75">
      <c r="B3" s="63" t="s">
        <v>112</v>
      </c>
      <c r="C3" s="63">
        <f>Invoer!B42</f>
        <v>170</v>
      </c>
    </row>
    <row r="4" spans="2:3" ht="12.75">
      <c r="B4" s="63" t="s">
        <v>113</v>
      </c>
      <c r="C4" s="65">
        <f>Invoer!B28*Invoer!B43</f>
        <v>0.714</v>
      </c>
    </row>
    <row r="5" spans="2:3" ht="12.75">
      <c r="B5" s="63" t="s">
        <v>114</v>
      </c>
      <c r="C5" s="65">
        <f>Invoer!B27*Invoer!B44</f>
        <v>0.441</v>
      </c>
    </row>
    <row r="6" spans="2:3" ht="12.75">
      <c r="B6" s="63" t="s">
        <v>116</v>
      </c>
      <c r="C6" s="65">
        <f>C4/(C3/1000)</f>
        <v>4.199999999999999</v>
      </c>
    </row>
    <row r="7" spans="2:3" ht="12.75">
      <c r="B7" s="63" t="s">
        <v>117</v>
      </c>
      <c r="C7" s="65">
        <f>C5/(C3/1000)</f>
        <v>2.594117647058823</v>
      </c>
    </row>
    <row r="8" spans="2:3" ht="12.75">
      <c r="B8" s="63"/>
      <c r="C8" s="63"/>
    </row>
    <row r="9" spans="2:3" ht="12.75">
      <c r="B9" s="63" t="s">
        <v>115</v>
      </c>
      <c r="C9" s="63"/>
    </row>
    <row r="10" spans="2:3" ht="12.75">
      <c r="B10" s="63" t="s">
        <v>112</v>
      </c>
      <c r="C10" s="63">
        <f>1000-C3</f>
        <v>830</v>
      </c>
    </row>
    <row r="11" spans="2:3" ht="12.75">
      <c r="B11" s="63" t="s">
        <v>113</v>
      </c>
      <c r="C11" s="65">
        <f>Invoer!B28-'rekenblad 2'!C4</f>
        <v>2.856</v>
      </c>
    </row>
    <row r="12" spans="2:3" ht="12.75">
      <c r="B12" s="63" t="s">
        <v>114</v>
      </c>
      <c r="C12" s="65">
        <f>Invoer!B27-'rekenblad 2'!C5</f>
        <v>1.029</v>
      </c>
    </row>
    <row r="13" spans="2:3" ht="12.75">
      <c r="B13" s="63" t="s">
        <v>116</v>
      </c>
      <c r="C13" s="65">
        <f>C11/(C10/1000)</f>
        <v>3.440963855421687</v>
      </c>
    </row>
    <row r="14" spans="2:3" ht="12.75">
      <c r="B14" s="63" t="s">
        <v>117</v>
      </c>
      <c r="C14" s="65">
        <f>C12/(C10/1000)</f>
        <v>1.2397590361445783</v>
      </c>
    </row>
    <row r="17" spans="1:5" ht="12.75">
      <c r="A17" s="63" t="s">
        <v>119</v>
      </c>
      <c r="D17" s="66">
        <f>IF(Invoer!F10&gt;0,Invoer!F10/'rekenblad 2'!C4,0)</f>
        <v>6631.652661064426</v>
      </c>
      <c r="E17" t="s">
        <v>118</v>
      </c>
    </row>
    <row r="18" spans="1:5" ht="12.75">
      <c r="A18" s="63" t="s">
        <v>120</v>
      </c>
      <c r="D18" s="66">
        <f>IF(Invoer!F11&gt;0,Invoer!F11/'rekenblad 2'!C5,0)</f>
        <v>4882.086167800453</v>
      </c>
      <c r="E18" t="s">
        <v>118</v>
      </c>
    </row>
    <row r="19" spans="1:5" ht="12.75">
      <c r="A19" t="s">
        <v>121</v>
      </c>
      <c r="D19" s="66">
        <f>IF(D17&lt;D18,D18,D17)</f>
        <v>6631.652661064426</v>
      </c>
      <c r="E19" t="s">
        <v>118</v>
      </c>
    </row>
    <row r="20" spans="1:5" ht="12.75">
      <c r="A20" t="s">
        <v>122</v>
      </c>
      <c r="D20" s="66">
        <f>Invoer!B26</f>
        <v>5610</v>
      </c>
      <c r="E20" t="s">
        <v>118</v>
      </c>
    </row>
    <row r="21" spans="1:5" ht="12.75">
      <c r="A21" s="67" t="s">
        <v>123</v>
      </c>
      <c r="B21" s="67"/>
      <c r="C21" s="67"/>
      <c r="D21" s="68">
        <f>IF(D19&lt;D20,D19,D20)</f>
        <v>5610</v>
      </c>
      <c r="E21" s="67" t="s">
        <v>118</v>
      </c>
    </row>
    <row r="23" ht="12.75">
      <c r="A23" t="s">
        <v>124</v>
      </c>
    </row>
    <row r="24" spans="1:5" ht="12.75">
      <c r="A24" t="s">
        <v>131</v>
      </c>
      <c r="D24" s="66">
        <f>D21*(C3/1000)</f>
        <v>953.7</v>
      </c>
      <c r="E24" t="s">
        <v>118</v>
      </c>
    </row>
    <row r="25" spans="1:5" ht="12.75">
      <c r="A25" t="s">
        <v>28</v>
      </c>
      <c r="D25" s="66">
        <f>D24*C6</f>
        <v>4005.5399999999995</v>
      </c>
      <c r="E25" t="s">
        <v>129</v>
      </c>
    </row>
    <row r="26" spans="1:5" ht="12.75">
      <c r="A26" t="s">
        <v>29</v>
      </c>
      <c r="D26" s="66">
        <f>D24*C7</f>
        <v>2474.0099999999998</v>
      </c>
      <c r="E26" t="s">
        <v>130</v>
      </c>
    </row>
    <row r="28" ht="12.75">
      <c r="A28" t="s">
        <v>125</v>
      </c>
    </row>
    <row r="29" spans="1:5" ht="12.75">
      <c r="A29" t="s">
        <v>126</v>
      </c>
      <c r="D29" s="66">
        <f>IF(D21&gt;0,(Invoer!F10-'rekenblad 2'!D25)/C13,0)</f>
        <v>211.99292717086848</v>
      </c>
      <c r="E29" t="s">
        <v>118</v>
      </c>
    </row>
    <row r="30" spans="1:5" ht="12.75">
      <c r="A30" t="s">
        <v>127</v>
      </c>
      <c r="D30" s="66">
        <f>IF(D21&gt;0,(Invoer!F11-D26)/Invoer!B27,0)</f>
        <v>-218.37414965986378</v>
      </c>
      <c r="E30" t="s">
        <v>118</v>
      </c>
    </row>
    <row r="31" spans="1:5" ht="12.75">
      <c r="A31" t="s">
        <v>192</v>
      </c>
      <c r="D31" s="66">
        <f>IF(D29&gt;D30,D29,D30)</f>
        <v>211.99292717086848</v>
      </c>
      <c r="E31" t="s">
        <v>118</v>
      </c>
    </row>
    <row r="32" spans="1:5" ht="12.75">
      <c r="A32" t="s">
        <v>193</v>
      </c>
      <c r="D32" s="66">
        <f>D20*(C10/1000)</f>
        <v>4656.3</v>
      </c>
      <c r="E32" t="s">
        <v>118</v>
      </c>
    </row>
    <row r="33" spans="1:5" ht="12.75">
      <c r="A33" s="67" t="s">
        <v>128</v>
      </c>
      <c r="B33" s="67"/>
      <c r="C33" s="67"/>
      <c r="D33" s="68">
        <f>IF(D31&gt;D32,D32,D31)</f>
        <v>211.99292717086848</v>
      </c>
      <c r="E33" s="67" t="s">
        <v>118</v>
      </c>
    </row>
    <row r="35" spans="1:5" ht="12.75">
      <c r="A35" t="s">
        <v>132</v>
      </c>
      <c r="D35" s="66">
        <f>D21-D24-D33</f>
        <v>4444.307072829131</v>
      </c>
      <c r="E35" t="s">
        <v>118</v>
      </c>
    </row>
    <row r="36" spans="1:5" ht="12.75">
      <c r="A36" t="s">
        <v>133</v>
      </c>
      <c r="D36" s="66">
        <f>D20-D21</f>
        <v>0</v>
      </c>
      <c r="E36" t="s">
        <v>118</v>
      </c>
    </row>
    <row r="38" spans="1:4" ht="12.75">
      <c r="A38" t="s">
        <v>136</v>
      </c>
      <c r="C38" s="66">
        <f>(Invoer!B26-Invoer!F13)*Invoer!B28*Invoer!B29</f>
        <v>6807.533428571429</v>
      </c>
      <c r="D38" t="s">
        <v>129</v>
      </c>
    </row>
    <row r="39" spans="1:4" ht="12.75">
      <c r="A39" t="s">
        <v>137</v>
      </c>
      <c r="C39" s="66">
        <f>D35*C13*Invoer!B45+'rekenblad 2'!D36*Invoer!B28*Invoer!B29</f>
        <v>12234.16</v>
      </c>
      <c r="D39" t="s">
        <v>129</v>
      </c>
    </row>
    <row r="40" spans="1:4" ht="12.75">
      <c r="A40" s="67" t="s">
        <v>138</v>
      </c>
      <c r="B40" s="67"/>
      <c r="C40" s="68">
        <f>C39-C38</f>
        <v>5426.626571428571</v>
      </c>
      <c r="D40" s="67" t="s">
        <v>129</v>
      </c>
    </row>
    <row r="43" spans="1:2" ht="12.75">
      <c r="A43" s="116">
        <v>1</v>
      </c>
      <c r="B43" s="116" t="s">
        <v>150</v>
      </c>
    </row>
    <row r="44" spans="1:2" ht="12.75">
      <c r="A44" s="116">
        <v>2</v>
      </c>
      <c r="B44" s="116" t="s">
        <v>151</v>
      </c>
    </row>
    <row r="45" spans="1:2" ht="12.75">
      <c r="A45" s="116"/>
      <c r="B45" s="116"/>
    </row>
    <row r="46" spans="1:2" ht="12.75">
      <c r="A46" s="116">
        <v>1</v>
      </c>
      <c r="B46" s="116" t="s">
        <v>152</v>
      </c>
    </row>
  </sheetData>
  <sheetProtection sheet="1" objects="1" scenarios="1"/>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Wageningen UR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Aart Evers</dc:creator>
  <cp:keywords/>
  <dc:description/>
  <cp:lastModifiedBy>Nieuwenhuis, Monique</cp:lastModifiedBy>
  <cp:lastPrinted>2010-06-30T07:54:22Z</cp:lastPrinted>
  <dcterms:created xsi:type="dcterms:W3CDTF">2009-10-27T12:40:36Z</dcterms:created>
  <dcterms:modified xsi:type="dcterms:W3CDTF">2015-10-15T08:43:38Z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